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8wGbiM/E+Baihin5KvN1l3C6F+31M8JVeRwReLtEzwFqsDKHsxvdKoyRahWHY8MF/xsvubziw7hTrs3moYEdQ==" workbookSaltValue="k5Xj/ZpXgPsBnvpefjD3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AR23" i="11" s="1"/>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K18" i="7" s="1"/>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H9" i="2"/>
  <c r="G13" i="3"/>
  <c r="E10"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AO16" i="11"/>
  <c r="H30" i="3"/>
  <c r="BI18" i="16"/>
  <c r="G17" i="3"/>
  <c r="B25" i="6"/>
  <c r="AO17" i="11"/>
  <c r="D17" i="2"/>
  <c r="E16" i="6"/>
  <c r="I16" i="7"/>
  <c r="C16" i="6"/>
  <c r="I16" i="12" s="1"/>
  <c r="Y25" i="11"/>
  <c r="W26" i="11"/>
  <c r="B29" i="6"/>
  <c r="F10" i="10"/>
  <c r="E28" i="3"/>
  <c r="D26" i="14"/>
  <c r="D11" i="2"/>
  <c r="B19" i="6"/>
  <c r="AO10" i="11"/>
  <c r="B10" i="6"/>
  <c r="AL13" i="11"/>
  <c r="E13" i="6"/>
  <c r="I10" i="7"/>
  <c r="H10" i="2"/>
  <c r="C13" i="6"/>
  <c r="AO19" i="11"/>
  <c r="F19" i="2"/>
  <c r="D19" i="6"/>
  <c r="J19" i="12" s="1"/>
  <c r="J19" i="7"/>
  <c r="AN19" i="11"/>
  <c r="C19" i="6"/>
  <c r="I19" i="12" s="1"/>
  <c r="Y9" i="11"/>
  <c r="W14" i="11"/>
  <c r="F9" i="12"/>
  <c r="F12" i="2"/>
  <c r="AN10" i="11"/>
  <c r="J22" i="2"/>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BH9" i="16"/>
  <c r="BH11" i="16"/>
  <c r="BK19" i="11"/>
  <c r="BH21" i="16"/>
  <c r="V16" i="11"/>
  <c r="S20" i="14"/>
  <c r="V20" i="14" s="1"/>
  <c r="BI22" i="11"/>
  <c r="BK9" i="11"/>
  <c r="BE13"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AN18" i="11"/>
  <c r="J21" i="2"/>
  <c r="J11" i="7"/>
  <c r="F9" i="2"/>
  <c r="B11" i="6"/>
  <c r="N26" i="2"/>
  <c r="L11" i="14"/>
  <c r="H18" i="2"/>
  <c r="H16" i="2"/>
  <c r="M14" i="2"/>
  <c r="M23" i="2"/>
  <c r="N14" i="2"/>
  <c r="AO18" i="1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C12" i="6"/>
  <c r="I12" i="12" s="1"/>
  <c r="B12" i="6"/>
  <c r="E12" i="6"/>
  <c r="E28" i="6"/>
  <c r="D20" i="6"/>
  <c r="J20" i="12" s="1"/>
  <c r="AO12" i="17"/>
  <c r="G23" i="2"/>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H31" i="12"/>
  <c r="J16" i="7"/>
  <c r="BL18" i="16"/>
  <c r="Z23" i="16"/>
  <c r="AA23" i="16" s="1"/>
  <c r="BF14" i="16"/>
  <c r="BL19" i="16"/>
  <c r="AP14" i="16"/>
  <c r="AL31" i="16"/>
  <c r="BK14" i="16"/>
  <c r="O23" i="16"/>
  <c r="O26" i="16" s="1"/>
  <c r="R26" i="16"/>
  <c r="AA9" i="16"/>
  <c r="AB14" i="16"/>
  <c r="G14" i="16"/>
  <c r="BD14" i="16"/>
  <c r="AB26" i="16"/>
  <c r="BE14" i="16"/>
  <c r="F16" i="16"/>
  <c r="V25" i="16"/>
  <c r="V9" i="16"/>
  <c r="BL28" i="16"/>
  <c r="BL16"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AX32" i="20"/>
  <c r="Q32" i="20"/>
  <c r="G14" i="14"/>
  <c r="AL23" i="11" l="1"/>
  <c r="F31" i="7"/>
  <c r="J12" i="12"/>
  <c r="B14" i="6"/>
  <c r="K29" i="7"/>
  <c r="AL25" i="11"/>
  <c r="AL14" i="11"/>
  <c r="AL29" i="11"/>
  <c r="H19" i="2"/>
  <c r="AL28" i="11"/>
  <c r="F23" i="2"/>
  <c r="H11" i="2"/>
  <c r="AN22" i="11"/>
  <c r="BE11" i="11"/>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AW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O18" i="11"/>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J30" i="2" s="1"/>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N31" i="2" s="1"/>
  <c r="W33" i="11"/>
  <c r="D30" i="7"/>
  <c r="B23" i="5"/>
  <c r="AY26" i="8"/>
  <c r="Y23" i="11"/>
  <c r="AQ21" i="11"/>
  <c r="AW26" i="16"/>
  <c r="G26" i="17"/>
  <c r="E14" i="16"/>
  <c r="F12" i="16"/>
  <c r="K14" i="21"/>
  <c r="K31" i="21" s="1"/>
  <c r="U23" i="16"/>
  <c r="U31" i="16" s="1"/>
  <c r="L14" i="16"/>
  <c r="Y26" i="11"/>
  <c r="AP14" i="11"/>
  <c r="K22" i="12"/>
  <c r="BC14" i="8"/>
  <c r="BF14" i="8" s="1"/>
  <c r="AM30" i="16"/>
  <c r="AK30" i="17"/>
  <c r="G23" i="17"/>
  <c r="AR23" i="17"/>
  <c r="N14" i="16"/>
  <c r="N31" i="16" s="1"/>
  <c r="V14" i="17"/>
  <c r="V31" i="17" s="1"/>
  <c r="AV23" i="16"/>
  <c r="Y31" i="21"/>
  <c r="I26" i="17"/>
  <c r="AP28" i="11"/>
  <c r="AM26" i="16"/>
  <c r="AF26" i="17"/>
  <c r="AB30" i="16"/>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BE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AB33" i="16" l="1"/>
  <c r="D31" i="14"/>
  <c r="E31"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BK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AH32" i="21"/>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S31" i="17"/>
  <c r="V31" i="16"/>
  <c r="BF31" i="11"/>
  <c r="BT31" i="16"/>
  <c r="BT33" i="16"/>
  <c r="BG31" i="8"/>
  <c r="K31" i="7" s="1"/>
  <c r="AS33" i="20"/>
  <c r="AR33" i="20" s="1"/>
  <c r="F31" i="17"/>
  <c r="AQ31" i="17" s="1"/>
  <c r="BD31" i="8"/>
  <c r="H31" i="7" s="1"/>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I30" i="12"/>
  <c r="I33" i="12" s="1"/>
  <c r="S31" i="11"/>
  <c r="T31" i="11" s="1"/>
  <c r="K23" i="7"/>
  <c r="K23" i="12"/>
  <c r="E33" i="16"/>
  <c r="V26" i="11"/>
  <c r="U30" i="11"/>
  <c r="K31" i="12" l="1"/>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<sst xmlns="http://schemas.openxmlformats.org/spreadsheetml/2006/main" count="2638" uniqueCount="1168">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</sst>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ZPURe886eL9oVPzxrvv6out1wRqUEhT2dANKrwwzImq5ZnSjc9GcqXD2mZ4Wp2ATMEeBK+mQjhPPoVTy0cMfHg==" saltValue="PENn+CDb5OnHUptsHr2A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CATALUÑA</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84</v>
      </c>
      <c r="D10" s="239">
        <f>IF(ISNUMBER(Datos!I10),Datos!I10," - ")</f>
        <v>84</v>
      </c>
      <c r="E10" s="240">
        <f>IF(ISNUMBER(Datos!J10),Datos!J10," - ")</f>
        <v>79</v>
      </c>
      <c r="F10" s="240">
        <f>IF(ISNUMBER(Datos!K10),Datos!K10," - ")</f>
        <v>73</v>
      </c>
      <c r="G10" s="1392" t="str">
        <f>IF(Datos!E10&lt;&gt;"",Datos!E10,Datos!D10)</f>
        <v>37</v>
      </c>
      <c r="H10" s="241">
        <f>IF(ISNUMBER(Datos!L10),Datos!L10," - ")</f>
        <v>90</v>
      </c>
      <c r="I10" s="1402" t="str">
        <f>IF(ISNUMBER(Datos!AS10/Datos!BM10),Datos!AS10/Datos!BM10," - ")</f>
        <v xml:space="preserve"> - </v>
      </c>
      <c r="J10" s="1403">
        <f>IF(ISNUMBER(Datos!BY10/Datos!CN10),Datos!BY10/Datos!CN10," - ")</f>
        <v>0</v>
      </c>
      <c r="K10" s="244">
        <f t="shared" ref="K10:K13" si="1">IF(ISNUMBER((E10-F10)/C10),(E10-F10)/C10," - ")</f>
        <v>7.1428571428571425E-2</v>
      </c>
      <c r="L10" s="1404">
        <f>IF(ISNUMBER(NºAsuntos!I10/NºAsuntos!G10),(NºAsuntos!I10/NºAsuntos!G10)*11," - ")</f>
        <v>13.561643835616438</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5</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10.788657407407408</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84</v>
      </c>
      <c r="D14" s="1409">
        <f>SUBTOTAL(9,D9:D13)</f>
        <v>84</v>
      </c>
      <c r="E14" s="1410">
        <f>SUBTOTAL(9,E9:E13)</f>
        <v>79</v>
      </c>
      <c r="F14" s="1411">
        <f>SUBTOTAL(9,F9:F13)</f>
        <v>73</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5</v>
      </c>
      <c r="B17" s="1464" t="str">
        <f>Datos!A17</f>
        <v xml:space="preserve">Jdos. 1ª Instª. e Instr.                        </v>
      </c>
      <c r="C17" s="239">
        <f t="shared" si="2"/>
        <v>2894</v>
      </c>
      <c r="D17" s="239">
        <f>IF(ISNUMBER(IF(D_I="SI",Datos!I17,Datos!I17+Datos!AC17)),IF(D_I="SI",Datos!I17,Datos!I17+Datos!AC17)," - ")</f>
        <v>3573</v>
      </c>
      <c r="E17" s="240">
        <f>IF(ISNUMBER(IF(D_I="SI",Datos!J17,Datos!J17+Datos!AD17)),IF(D_I="SI",Datos!J17,Datos!J17+Datos!AD17)," - ")</f>
        <v>4251</v>
      </c>
      <c r="F17" s="240">
        <f>IF(ISNUMBER(IF(D_I="SI",Datos!K17,Datos!K17+Datos!AE17)),IF(D_I="SI",Datos!K17,Datos!K17+Datos!AE17)," - ")</f>
        <v>3913</v>
      </c>
      <c r="G17" s="1392" t="str">
        <f>IF(Datos!E17&lt;&gt;"",Datos!E17,Datos!D17)</f>
        <v>04</v>
      </c>
      <c r="H17" s="241">
        <f>IF(ISNUMBER(IF(D_I="SI",Datos!L17,Datos!L17+Datos!AF17)),IF(D_I="SI",Datos!L17,Datos!L17+Datos!AF17)," - ")</f>
        <v>3232</v>
      </c>
      <c r="I17" s="1402" t="str">
        <f>IF(ISNUMBER(Datos!AS17/Datos!BM17),Datos!AS17/Datos!BM17," - ")</f>
        <v xml:space="preserve"> - </v>
      </c>
      <c r="J17" s="1403">
        <f>IF(ISNUMBER(Datos!BY17/Datos!CN17),Datos!BY17/Datos!CN17," - ")</f>
        <v>0</v>
      </c>
      <c r="K17" s="244">
        <f t="shared" si="3"/>
        <v>0.11679336558396683</v>
      </c>
      <c r="L17" s="1404">
        <f>IF(ISNUMBER(NºAsuntos!I17/NºAsuntos!G17),(NºAsuntos!I17/NºAsuntos!G17)*11," - ")</f>
        <v>9.0856120623562475</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323</v>
      </c>
      <c r="D18" s="239">
        <f>IF(ISNUMBER(IF(D_I="SI",Datos!I18,Datos!I18+Datos!AC18)),IF(D_I="SI",Datos!I18,Datos!I18+Datos!AC18)," - ")</f>
        <v>321</v>
      </c>
      <c r="E18" s="240">
        <f>IF(ISNUMBER(IF(D_I="SI",Datos!J18,Datos!J18+Datos!AD18)),IF(D_I="SI",Datos!J18,Datos!J18+Datos!AD18)," - ")</f>
        <v>451</v>
      </c>
      <c r="F18" s="240">
        <f>IF(ISNUMBER(IF(D_I="SI",Datos!K18,Datos!K18+Datos!AE18)),IF(D_I="SI",Datos!K18,Datos!K18+Datos!AE18)," - ")</f>
        <v>319</v>
      </c>
      <c r="G18" s="1392" t="str">
        <f>IF(Datos!E18&lt;&gt;"",Datos!E18,Datos!D18)</f>
        <v>37</v>
      </c>
      <c r="H18" s="241">
        <f>IF(ISNUMBER(IF(D_I="SI",Datos!L18,Datos!L18+Datos!AF18)),IF(D_I="SI",Datos!L18,Datos!L18+Datos!AF18)," - ")</f>
        <v>455</v>
      </c>
      <c r="I18" s="1402" t="str">
        <f>IF(ISNUMBER(Datos!AS18/Datos!BM18),Datos!AS18/Datos!BM18," - ")</f>
        <v xml:space="preserve"> - </v>
      </c>
      <c r="J18" s="1403" t="str">
        <f>IF(ISNUMBER((Datos!BY18+Datos!BZ18)/Datos!CN18),(Datos!BY18+Datos!BZ18)/Datos!CN18," - ")</f>
        <v xml:space="preserve"> - </v>
      </c>
      <c r="K18" s="244">
        <f t="shared" si="3"/>
        <v>0.4086687306501548</v>
      </c>
      <c r="L18" s="1404">
        <f>IF(ISNUMBER(NºAsuntos!I18/NºAsuntos!G18),(NºAsuntos!I18/NºAsuntos!G18)*11," - ")</f>
        <v>15.689655172413794</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3217</v>
      </c>
      <c r="D23" s="1409">
        <f>SUBTOTAL(9,D16:D22)</f>
        <v>3894</v>
      </c>
      <c r="E23" s="1410">
        <f>SUBTOTAL(9,E16:E22)</f>
        <v>4702</v>
      </c>
      <c r="F23" s="1410">
        <f>SUBTOTAL(9,F16:F22)</f>
        <v>4232</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3301</v>
      </c>
      <c r="D31" s="1437">
        <f>SUBTOTAL(9,D9:D30)</f>
        <v>3978</v>
      </c>
      <c r="E31" s="1438">
        <f>SUBTOTAL(9,E9:E30)</f>
        <v>4781</v>
      </c>
      <c r="F31" s="1438">
        <f>SUBTOTAL(9,F9:F30)</f>
        <v>4305</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GLNvIf9G1a0stJukLfmmb2tAd/66HE1U9eQhDF21TsuiYlirie1E9gqRXyiliQm6onEJhUzmWZivlA05uLFA3w==" saltValue="TchciJWS0l23EQReBH1MF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2pVrD0O1zJKLWZD1oqg0CbAOq32oVOaoB50YNE95VOhyGwv1K4dXoJY2v+2zhV6v3IyGkQrigWdJBODJgPYC4Q==" saltValue="D9aTEMqhtuDo3DgVSE/C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t="s">
        <v>1105</v>
      </c>
      <c r="J9" s="194" t="s">
        <v>1086</v>
      </c>
      <c r="K9" s="194" t="s">
        <v>1106</v>
      </c>
      <c r="L9" s="194" t="s">
        <v>1125</v>
      </c>
      <c r="M9" s="194" t="s">
        <v>656</v>
      </c>
      <c r="N9" s="194" t="s">
        <v>672</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1084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84</v>
      </c>
      <c r="J10" s="194">
        <v>79</v>
      </c>
      <c r="K10" s="194">
        <v>73</v>
      </c>
      <c r="L10" s="194">
        <v>90</v>
      </c>
      <c r="M10" s="194">
        <v>29</v>
      </c>
      <c r="N10" s="194">
        <v>28</v>
      </c>
      <c r="O10" s="194">
        <v>12</v>
      </c>
      <c r="P10" s="194">
        <v>7</v>
      </c>
      <c r="Q10" s="194">
        <v>4</v>
      </c>
      <c r="R10" s="194">
        <v>77</v>
      </c>
      <c r="S10" s="194">
        <v>85</v>
      </c>
      <c r="T10" s="194">
        <v>62</v>
      </c>
      <c r="U10" s="194">
        <v>46</v>
      </c>
      <c r="V10" s="194">
        <v>84</v>
      </c>
      <c r="W10" s="194">
        <v>25</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1078</v>
      </c>
      <c r="AT10" s="205"/>
      <c r="AU10" s="213"/>
      <c r="AV10" s="205"/>
      <c r="AW10" s="213"/>
      <c r="AX10" s="205"/>
      <c r="AY10" s="138">
        <f t="shared" ref="AY10:BC10" si="0">IF(ISNUMBER(S10),S10," - ")</f>
        <v>85</v>
      </c>
      <c r="AZ10" s="139">
        <f t="shared" si="0"/>
        <v>62</v>
      </c>
      <c r="BA10" s="139">
        <f t="shared" si="0"/>
        <v>46</v>
      </c>
      <c r="BB10" s="139">
        <f t="shared" si="0"/>
        <v>84</v>
      </c>
      <c r="BC10" s="135">
        <f t="shared" si="0"/>
        <v>25</v>
      </c>
      <c r="BD10" s="136">
        <f>IF(ISNUMBER(BA10/AZ10),BA10/AZ10," - ")</f>
        <v>0.74193548387096775</v>
      </c>
      <c r="BE10" s="137">
        <f>IF(ISNUMBER(BB10/BA10),BB10/BA10, " - ")</f>
        <v>1.826086956521739</v>
      </c>
      <c r="BF10" s="137">
        <f>IF(ISNUMBER(BC10/BA10),BC10/BA10, " - ")</f>
        <v>0.54347826086956519</v>
      </c>
      <c r="BG10" s="209">
        <f>IF(ISNUMBER((AY10+AZ10)/BA10),(AY10+AZ10)/BA10," - ")</f>
        <v>3.1956521739130435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1105</v>
      </c>
      <c r="J11" s="196" t="s">
        <v>1086</v>
      </c>
      <c r="K11" s="196" t="s">
        <v>1106</v>
      </c>
      <c r="L11" s="196" t="s">
        <v>1125</v>
      </c>
      <c r="M11" s="196" t="s">
        <v>656</v>
      </c>
      <c r="N11" s="196" t="s">
        <v>672</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4293</v>
      </c>
      <c r="J12" s="196">
        <v>3967</v>
      </c>
      <c r="K12" s="196">
        <v>4112</v>
      </c>
      <c r="L12" s="196">
        <v>4128</v>
      </c>
      <c r="M12" s="196">
        <v>790</v>
      </c>
      <c r="N12" s="196">
        <v>1613</v>
      </c>
      <c r="O12" s="194">
        <v>1698</v>
      </c>
      <c r="P12" s="196">
        <v>912</v>
      </c>
      <c r="Q12" s="196">
        <v>474</v>
      </c>
      <c r="R12" s="196">
        <v>6944</v>
      </c>
      <c r="S12" s="196">
        <v>3481</v>
      </c>
      <c r="T12" s="196">
        <v>2818</v>
      </c>
      <c r="U12" s="196">
        <v>1994</v>
      </c>
      <c r="V12" s="196">
        <v>4293</v>
      </c>
      <c r="W12" s="196">
        <v>547</v>
      </c>
      <c r="X12" s="202">
        <v>747</v>
      </c>
      <c r="Y12" s="204">
        <v>116</v>
      </c>
      <c r="Z12" s="194">
        <v>228</v>
      </c>
      <c r="AA12" s="194">
        <v>208</v>
      </c>
      <c r="AB12" s="194">
        <v>109</v>
      </c>
      <c r="AC12" s="196">
        <v>0</v>
      </c>
      <c r="AD12" s="196">
        <v>0</v>
      </c>
      <c r="AE12" s="196">
        <v>0</v>
      </c>
      <c r="AF12" s="202">
        <v>0</v>
      </c>
      <c r="AG12" s="215">
        <v>111</v>
      </c>
      <c r="AH12" s="196">
        <v>137</v>
      </c>
      <c r="AI12" s="196">
        <v>130</v>
      </c>
      <c r="AJ12" s="216">
        <v>116</v>
      </c>
      <c r="AK12" s="195">
        <v>0</v>
      </c>
      <c r="AL12" s="196">
        <v>0</v>
      </c>
      <c r="AM12" s="196">
        <v>0</v>
      </c>
      <c r="AN12" s="202">
        <v>0</v>
      </c>
      <c r="AO12" s="283">
        <v>5</v>
      </c>
      <c r="AP12" s="168">
        <v>5</v>
      </c>
      <c r="AQ12" s="168">
        <v>5</v>
      </c>
      <c r="AR12" s="167">
        <v>5</v>
      </c>
      <c r="AS12" s="382" t="s">
        <v>1089</v>
      </c>
      <c r="AT12" s="216"/>
      <c r="AU12" s="215"/>
      <c r="AV12" s="216"/>
      <c r="AW12" s="215"/>
      <c r="AX12" s="216"/>
      <c r="AY12" s="136">
        <f t="shared" si="1"/>
        <v>3592</v>
      </c>
      <c r="AZ12" s="137">
        <f t="shared" si="1"/>
        <v>2955</v>
      </c>
      <c r="BA12" s="137">
        <f t="shared" si="1"/>
        <v>2124</v>
      </c>
      <c r="BB12" s="137">
        <f t="shared" si="1"/>
        <v>4409</v>
      </c>
      <c r="BC12" s="135">
        <f>IF(ISNUMBER(X12),X12," - ")</f>
        <v>747</v>
      </c>
      <c r="BD12" s="136">
        <f t="shared" si="2"/>
        <v>0.7187817258883249</v>
      </c>
      <c r="BE12" s="137">
        <f t="shared" si="3"/>
        <v>2.0758003766478343</v>
      </c>
      <c r="BF12" s="137">
        <f t="shared" si="4"/>
        <v>0.35169491525423729</v>
      </c>
      <c r="BG12" s="209">
        <f t="shared" si="5"/>
        <v>3.0823917137476458</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4377</v>
      </c>
      <c r="J14" s="197">
        <f t="shared" si="7"/>
        <v>4046</v>
      </c>
      <c r="K14" s="197">
        <f t="shared" si="7"/>
        <v>4185</v>
      </c>
      <c r="L14" s="197">
        <f t="shared" si="7"/>
        <v>4218</v>
      </c>
      <c r="M14" s="197">
        <f t="shared" si="7"/>
        <v>819</v>
      </c>
      <c r="N14" s="197">
        <f t="shared" si="7"/>
        <v>1641</v>
      </c>
      <c r="O14" s="197">
        <f t="shared" si="7"/>
        <v>1710</v>
      </c>
      <c r="P14" s="197">
        <f t="shared" si="7"/>
        <v>919</v>
      </c>
      <c r="Q14" s="197">
        <f t="shared" si="7"/>
        <v>478</v>
      </c>
      <c r="R14" s="197">
        <f t="shared" si="7"/>
        <v>7021</v>
      </c>
      <c r="S14" s="197">
        <f t="shared" si="7"/>
        <v>3566</v>
      </c>
      <c r="T14" s="197">
        <f t="shared" si="7"/>
        <v>2880</v>
      </c>
      <c r="U14" s="197">
        <f t="shared" si="7"/>
        <v>2040</v>
      </c>
      <c r="V14" s="197">
        <f t="shared" si="7"/>
        <v>4377</v>
      </c>
      <c r="W14" s="197">
        <f t="shared" si="7"/>
        <v>572</v>
      </c>
      <c r="X14" s="197">
        <f t="shared" si="7"/>
        <v>757</v>
      </c>
      <c r="Y14" s="197">
        <f t="shared" si="7"/>
        <v>116</v>
      </c>
      <c r="Z14" s="197">
        <f t="shared" si="7"/>
        <v>228</v>
      </c>
      <c r="AA14" s="197">
        <f t="shared" si="7"/>
        <v>208</v>
      </c>
      <c r="AB14" s="197">
        <f t="shared" si="7"/>
        <v>109</v>
      </c>
      <c r="AC14" s="197">
        <f t="shared" si="7"/>
        <v>0</v>
      </c>
      <c r="AD14" s="197">
        <f t="shared" si="7"/>
        <v>0</v>
      </c>
      <c r="AE14" s="197">
        <f t="shared" si="7"/>
        <v>0</v>
      </c>
      <c r="AF14" s="197">
        <f>SUBTOTAL(9,AF9:AF13)</f>
        <v>0</v>
      </c>
      <c r="AG14" s="197">
        <f t="shared" ref="AG14:AT14" si="8">SUBTOTAL(9,AG8:AG13)</f>
        <v>111</v>
      </c>
      <c r="AH14" s="197">
        <f t="shared" si="8"/>
        <v>137</v>
      </c>
      <c r="AI14" s="197">
        <f t="shared" si="8"/>
        <v>130</v>
      </c>
      <c r="AJ14" s="197">
        <f t="shared" si="8"/>
        <v>116</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3677</v>
      </c>
      <c r="AZ14" s="197">
        <f>SUBTOTAL(9,AZ8:AZ13)</f>
        <v>3017</v>
      </c>
      <c r="BA14" s="197">
        <f>SUBTOTAL(9,BA8:BA13)</f>
        <v>2170</v>
      </c>
      <c r="BB14" s="197">
        <f>SUBTOTAL(9,BB8:BB13)</f>
        <v>4493</v>
      </c>
      <c r="BC14" s="197">
        <f>SUBTOTAL(9,BC8:BC13)</f>
        <v>772</v>
      </c>
      <c r="BD14" s="219">
        <f>IF(ISNUMBER(BA14/AZ14),BA14/AZ14," - ")</f>
        <v>0.71925754060324831</v>
      </c>
      <c r="BE14" s="220">
        <f>IF(ISNUMBER(BB14/BA14),BB14/BA14, " - ")</f>
        <v>2.0705069124423963</v>
      </c>
      <c r="BF14" s="220">
        <f>IF(ISNUMBER(BC14/BA14),BC14/BA14, " - ")</f>
        <v>0.35576036866359445</v>
      </c>
      <c r="BG14" s="221">
        <f>IF(ISNUMBER((AY14+AZ14)/BA14),(AY14+AZ14)/BA14," - ")</f>
        <v>3.0847926267281105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t="s">
        <v>654</v>
      </c>
      <c r="J16" s="196" t="s">
        <v>650</v>
      </c>
      <c r="K16" s="196" t="s">
        <v>651</v>
      </c>
      <c r="L16" s="196" t="s">
        <v>652</v>
      </c>
      <c r="M16" s="196" t="s">
        <v>658</v>
      </c>
      <c r="N16" s="196" t="s">
        <v>203</v>
      </c>
      <c r="O16" s="194" t="s">
        <v>290</v>
      </c>
      <c r="P16" s="196" t="s">
        <v>636</v>
      </c>
      <c r="Q16" s="196" t="s">
        <v>637</v>
      </c>
      <c r="R16" s="196" t="s">
        <v>638</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707</v>
      </c>
      <c r="AT16" s="216" t="s">
        <v>428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3573</v>
      </c>
      <c r="J17" s="196">
        <v>4251</v>
      </c>
      <c r="K17" s="196">
        <v>3913</v>
      </c>
      <c r="L17" s="196">
        <v>3232</v>
      </c>
      <c r="M17" s="196">
        <v>514</v>
      </c>
      <c r="N17" s="196">
        <v>2347</v>
      </c>
      <c r="O17" s="194">
        <v>11</v>
      </c>
      <c r="P17" s="196">
        <v>96</v>
      </c>
      <c r="Q17" s="196">
        <v>38</v>
      </c>
      <c r="R17" s="196">
        <v>179</v>
      </c>
      <c r="S17" s="196">
        <v>2528</v>
      </c>
      <c r="T17" s="196">
        <v>4030</v>
      </c>
      <c r="U17" s="196">
        <v>3024</v>
      </c>
      <c r="V17" s="196">
        <v>3573</v>
      </c>
      <c r="W17" s="196">
        <v>328</v>
      </c>
      <c r="X17" s="202">
        <v>1888</v>
      </c>
      <c r="Y17" s="215">
        <v>0</v>
      </c>
      <c r="Z17" s="196">
        <v>0</v>
      </c>
      <c r="AA17" s="196">
        <v>0</v>
      </c>
      <c r="AB17" s="196">
        <v>0</v>
      </c>
      <c r="AC17" s="196">
        <v>44</v>
      </c>
      <c r="AD17" s="196">
        <v>113</v>
      </c>
      <c r="AE17" s="196">
        <v>117</v>
      </c>
      <c r="AF17" s="202">
        <v>9</v>
      </c>
      <c r="AG17" s="215">
        <v>0</v>
      </c>
      <c r="AH17" s="196">
        <v>0</v>
      </c>
      <c r="AI17" s="196">
        <v>0</v>
      </c>
      <c r="AJ17" s="216">
        <v>0</v>
      </c>
      <c r="AK17" s="195">
        <v>71</v>
      </c>
      <c r="AL17" s="196">
        <v>114</v>
      </c>
      <c r="AM17" s="196">
        <v>141</v>
      </c>
      <c r="AN17" s="202">
        <v>44</v>
      </c>
      <c r="AO17" s="283">
        <v>5</v>
      </c>
      <c r="AP17" s="168">
        <v>5</v>
      </c>
      <c r="AQ17" s="168">
        <v>5</v>
      </c>
      <c r="AR17" s="168">
        <v>5</v>
      </c>
      <c r="AS17" s="382" t="s">
        <v>653</v>
      </c>
      <c r="AT17" s="216"/>
      <c r="AU17" s="215"/>
      <c r="AV17" s="216"/>
      <c r="AW17" s="215"/>
      <c r="AX17" s="216"/>
      <c r="AY17" s="136">
        <f t="shared" si="10"/>
        <v>2528</v>
      </c>
      <c r="AZ17" s="137">
        <f t="shared" si="10"/>
        <v>4030</v>
      </c>
      <c r="BA17" s="137">
        <f t="shared" si="10"/>
        <v>3024</v>
      </c>
      <c r="BB17" s="137">
        <f t="shared" si="10"/>
        <v>3573</v>
      </c>
      <c r="BC17" s="135">
        <f>IF(ISNUMBER(W17),W17," - ")</f>
        <v>328</v>
      </c>
      <c r="BD17" s="136">
        <f t="shared" ref="BD17:BD22" si="12">IF(ISNUMBER(BA17/AZ17),BA17/AZ17," - ")</f>
        <v>0.75037220843672459</v>
      </c>
      <c r="BE17" s="137">
        <f t="shared" ref="BE17:BE22" si="13">IF(ISNUMBER(BB17/BA17),BB17/BA17, " - ")</f>
        <v>1.1815476190476191</v>
      </c>
      <c r="BF17" s="137">
        <f t="shared" ref="BF17:BF22" si="14">IF(ISNUMBER(BC17/BA17),BC17/BA17, " - ")</f>
        <v>0.10846560846560846</v>
      </c>
      <c r="BG17" s="209">
        <f t="shared" si="11"/>
        <v>2.1686507936507935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321</v>
      </c>
      <c r="J18" s="196">
        <v>451</v>
      </c>
      <c r="K18" s="196">
        <v>319</v>
      </c>
      <c r="L18" s="196">
        <v>455</v>
      </c>
      <c r="M18" s="196">
        <v>29</v>
      </c>
      <c r="N18" s="196">
        <v>152</v>
      </c>
      <c r="O18" s="196">
        <v>0</v>
      </c>
      <c r="P18" s="196">
        <v>5</v>
      </c>
      <c r="Q18" s="196">
        <v>7</v>
      </c>
      <c r="R18" s="196">
        <v>9</v>
      </c>
      <c r="S18" s="196">
        <v>157</v>
      </c>
      <c r="T18" s="196">
        <v>415</v>
      </c>
      <c r="U18" s="196">
        <v>258</v>
      </c>
      <c r="V18" s="196">
        <v>321</v>
      </c>
      <c r="W18" s="196">
        <v>14</v>
      </c>
      <c r="X18" s="202">
        <v>152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1077</v>
      </c>
      <c r="AT18" s="223"/>
      <c r="AU18" s="213"/>
      <c r="AV18" s="223"/>
      <c r="AW18" s="213"/>
      <c r="AX18" s="223"/>
      <c r="AY18" s="138">
        <f t="shared" ref="AY18:BB19" si="15">IF(ISNUMBER(S18),S18," - ")</f>
        <v>157</v>
      </c>
      <c r="AZ18" s="139">
        <f t="shared" si="15"/>
        <v>415</v>
      </c>
      <c r="BA18" s="139">
        <f t="shared" si="15"/>
        <v>258</v>
      </c>
      <c r="BB18" s="139">
        <f t="shared" si="15"/>
        <v>321</v>
      </c>
      <c r="BC18" s="135">
        <f>IF(ISNUMBER(W18),W18," - ")</f>
        <v>14</v>
      </c>
      <c r="BD18" s="136">
        <f>IF(ISNUMBER(BA18/AZ18),BA18/AZ18," - ")</f>
        <v>0.62168674698795179</v>
      </c>
      <c r="BE18" s="137">
        <f>IF(ISNUMBER(BB18/BA18),BB18/BA18, " - ")</f>
        <v>1.2441860465116279</v>
      </c>
      <c r="BF18" s="137">
        <f>IF(ISNUMBER(BC18/BA18),BC18/BA18, " - ")</f>
        <v>5.4263565891472867E-2</v>
      </c>
      <c r="BG18" s="209">
        <f>IF(ISNUMBER((AY18+AZ18)/BA18),(AY18+AZ18)/BA18," - ")</f>
        <v>2.2170542635658914</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3894</v>
      </c>
      <c r="J23" s="197">
        <f t="shared" si="21"/>
        <v>4702</v>
      </c>
      <c r="K23" s="197">
        <f t="shared" si="21"/>
        <v>4232</v>
      </c>
      <c r="L23" s="197">
        <f t="shared" si="21"/>
        <v>3687</v>
      </c>
      <c r="M23" s="197">
        <f t="shared" si="21"/>
        <v>543</v>
      </c>
      <c r="N23" s="197">
        <f t="shared" si="21"/>
        <v>2499</v>
      </c>
      <c r="O23" s="197">
        <f t="shared" si="21"/>
        <v>11</v>
      </c>
      <c r="P23" s="197">
        <f t="shared" si="21"/>
        <v>101</v>
      </c>
      <c r="Q23" s="197">
        <f t="shared" si="21"/>
        <v>45</v>
      </c>
      <c r="R23" s="197">
        <f t="shared" si="21"/>
        <v>188</v>
      </c>
      <c r="S23" s="197">
        <f t="shared" si="21"/>
        <v>2685</v>
      </c>
      <c r="T23" s="197">
        <f t="shared" si="21"/>
        <v>4445</v>
      </c>
      <c r="U23" s="197">
        <f t="shared" si="21"/>
        <v>3282</v>
      </c>
      <c r="V23" s="197">
        <f t="shared" si="21"/>
        <v>3894</v>
      </c>
      <c r="W23" s="197">
        <f t="shared" si="21"/>
        <v>342</v>
      </c>
      <c r="X23" s="197">
        <f t="shared" si="21"/>
        <v>2040</v>
      </c>
      <c r="Y23" s="197">
        <f t="shared" si="21"/>
        <v>0</v>
      </c>
      <c r="Z23" s="197">
        <f t="shared" si="21"/>
        <v>0</v>
      </c>
      <c r="AA23" s="197">
        <f t="shared" si="21"/>
        <v>0</v>
      </c>
      <c r="AB23" s="197">
        <f t="shared" si="21"/>
        <v>0</v>
      </c>
      <c r="AC23" s="197">
        <f t="shared" si="21"/>
        <v>44</v>
      </c>
      <c r="AD23" s="197">
        <f t="shared" si="21"/>
        <v>113</v>
      </c>
      <c r="AE23" s="197">
        <f t="shared" si="21"/>
        <v>117</v>
      </c>
      <c r="AF23" s="197">
        <f t="shared" si="21"/>
        <v>9</v>
      </c>
      <c r="AG23" s="197">
        <f t="shared" si="21"/>
        <v>0</v>
      </c>
      <c r="AH23" s="197">
        <f t="shared" si="21"/>
        <v>0</v>
      </c>
      <c r="AI23" s="197">
        <f t="shared" si="21"/>
        <v>0</v>
      </c>
      <c r="AJ23" s="197">
        <f t="shared" si="21"/>
        <v>0</v>
      </c>
      <c r="AK23" s="197">
        <f t="shared" si="21"/>
        <v>71</v>
      </c>
      <c r="AL23" s="197">
        <f t="shared" si="21"/>
        <v>114</v>
      </c>
      <c r="AM23" s="197">
        <f t="shared" si="21"/>
        <v>141</v>
      </c>
      <c r="AN23" s="197">
        <f t="shared" si="21"/>
        <v>44</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2685</v>
      </c>
      <c r="AZ23" s="197">
        <f>SUBTOTAL(9,AZ15:AZ22)</f>
        <v>4445</v>
      </c>
      <c r="BA23" s="197">
        <f>SUBTOTAL(9,BA15:BA22)</f>
        <v>3282</v>
      </c>
      <c r="BB23" s="197">
        <f>SUBTOTAL(9,BB15:BB22)</f>
        <v>3894</v>
      </c>
      <c r="BC23" s="197">
        <f>SUBTOTAL(9,BC15:BC22)</f>
        <v>342</v>
      </c>
      <c r="BD23" s="219">
        <f>IF(ISNUMBER(BA23/AZ23),BA23/AZ23," - ")</f>
        <v>0.73835770528683919</v>
      </c>
      <c r="BE23" s="220">
        <f>IF(ISNUMBER(BB23/BA23),BB23/BA23, " - ")</f>
        <v>1.1864716636197441</v>
      </c>
      <c r="BF23" s="220">
        <f>IF(ISNUMBER(BC23/BA23),BC23/BA23, " - ")</f>
        <v>0.10420475319926874</v>
      </c>
      <c r="BG23" s="221">
        <f>IF(ISNUMBER((AY23+AZ23)/BA23),(AY23+AZ23)/BA23," - ")</f>
        <v>2.1724558196221815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8271</v>
      </c>
      <c r="J31" s="144">
        <f t="shared" si="36"/>
        <v>8748</v>
      </c>
      <c r="K31" s="144">
        <f t="shared" si="36"/>
        <v>8417</v>
      </c>
      <c r="L31" s="144">
        <f t="shared" si="36"/>
        <v>7905</v>
      </c>
      <c r="M31" s="144">
        <f t="shared" si="36"/>
        <v>1362</v>
      </c>
      <c r="N31" s="144">
        <f t="shared" si="36"/>
        <v>4140</v>
      </c>
      <c r="O31" s="144">
        <f t="shared" si="36"/>
        <v>1721</v>
      </c>
      <c r="P31" s="144">
        <f t="shared" si="36"/>
        <v>1020</v>
      </c>
      <c r="Q31" s="144">
        <f t="shared" si="36"/>
        <v>523</v>
      </c>
      <c r="R31" s="144">
        <f t="shared" si="36"/>
        <v>7209</v>
      </c>
      <c r="S31" s="144">
        <f t="shared" si="36"/>
        <v>6251</v>
      </c>
      <c r="T31" s="144">
        <f t="shared" si="36"/>
        <v>7325</v>
      </c>
      <c r="U31" s="144">
        <f t="shared" si="36"/>
        <v>5322</v>
      </c>
      <c r="V31" s="144">
        <f t="shared" si="36"/>
        <v>8271</v>
      </c>
      <c r="W31" s="144">
        <f t="shared" si="36"/>
        <v>914</v>
      </c>
      <c r="X31" s="144">
        <f t="shared" si="36"/>
        <v>2797</v>
      </c>
      <c r="Y31" s="144">
        <f t="shared" si="36"/>
        <v>116</v>
      </c>
      <c r="Z31" s="144">
        <f t="shared" si="36"/>
        <v>228</v>
      </c>
      <c r="AA31" s="144">
        <f t="shared" si="36"/>
        <v>208</v>
      </c>
      <c r="AB31" s="144">
        <f t="shared" si="36"/>
        <v>109</v>
      </c>
      <c r="AC31" s="144">
        <f t="shared" si="36"/>
        <v>44</v>
      </c>
      <c r="AD31" s="144">
        <f t="shared" si="36"/>
        <v>113</v>
      </c>
      <c r="AE31" s="144">
        <f t="shared" si="36"/>
        <v>117</v>
      </c>
      <c r="AF31" s="144">
        <f t="shared" si="36"/>
        <v>9</v>
      </c>
      <c r="AG31" s="144">
        <f t="shared" si="36"/>
        <v>111</v>
      </c>
      <c r="AH31" s="144">
        <f t="shared" si="36"/>
        <v>137</v>
      </c>
      <c r="AI31" s="144">
        <f t="shared" si="36"/>
        <v>130</v>
      </c>
      <c r="AJ31" s="144">
        <f t="shared" si="36"/>
        <v>116</v>
      </c>
      <c r="AK31" s="144">
        <f t="shared" si="36"/>
        <v>71</v>
      </c>
      <c r="AL31" s="144">
        <f t="shared" si="36"/>
        <v>114</v>
      </c>
      <c r="AM31" s="144">
        <f t="shared" si="36"/>
        <v>141</v>
      </c>
      <c r="AN31" s="224">
        <f t="shared" si="36"/>
        <v>44</v>
      </c>
      <c r="AO31" s="225">
        <v>6</v>
      </c>
      <c r="AP31" s="225">
        <v>5</v>
      </c>
      <c r="AQ31" s="225">
        <v>5</v>
      </c>
      <c r="AR31" s="225">
        <v>5</v>
      </c>
      <c r="AS31" s="166">
        <f t="shared" si="36"/>
        <v>0</v>
      </c>
      <c r="AT31" s="166">
        <f t="shared" si="36"/>
        <v>0</v>
      </c>
      <c r="AU31" s="225"/>
      <c r="AV31" s="226"/>
      <c r="AW31" s="225"/>
      <c r="AX31" s="226"/>
      <c r="AY31" s="143">
        <f>SUBTOTAL(9,AY9:AY30)</f>
        <v>6362</v>
      </c>
      <c r="AZ31" s="144">
        <f>SUBTOTAL(9,AZ9:AZ30)</f>
        <v>7462</v>
      </c>
      <c r="BA31" s="144">
        <f>SUBTOTAL(9,BA9:BA30)</f>
        <v>5452</v>
      </c>
      <c r="BB31" s="144">
        <f>SUBTOTAL(9,BB9:BB30)</f>
        <v>8387</v>
      </c>
      <c r="BC31" s="145">
        <f>SUBTOTAL(9,BC9:BC30)</f>
        <v>1114</v>
      </c>
      <c r="BD31" s="227">
        <f>IF(ISNUMBER(BA31/AZ31),BA31/AZ31," - ")</f>
        <v>0.73063521844009649</v>
      </c>
      <c r="BE31" s="224">
        <f>IF(ISNUMBER(BB31/BA31),BB31/BA31, " - ")</f>
        <v>1.5383345561261923</v>
      </c>
      <c r="BF31" s="224">
        <f>IF(ISNUMBER(BC31/BA31),BC31/BA31, " - ")</f>
        <v>0.20432868672046955</v>
      </c>
      <c r="BG31" s="145">
        <f>IF(ISNUMBER((AY31+AZ31)/BA31),(AY31+AZ31)/BA31," - ")</f>
        <v>2.5355832721936902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I4W5xpWf2nWkpYme6J0LlesP3uR/D6R2DCtOa6iPnI1jC0KqhoX2NC50mLeOUC0mlMP8z2N82G+dPNxpBP28A==" saltValue="pDNzDWFRn7ymktY6EOuVPw=="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pgXasXhkedhVqyjhldhnowSIr4kfDZfJGXhxdbJ22cI+TK1vB1KNGYl6bh6sVFzhtJAU1Woo8c1bSO+wG/69Q==" saltValue="8X2NxAnOul1Gu87co8ajY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VILAFRANCA DEL PENEDES</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0</v>
      </c>
      <c r="F10" s="556">
        <f>IF(ISNUMBER(Datos!L10+Datos!K10-Datos!J10),Datos!L10+Datos!K10-Datos!J10," - ")</f>
        <v>84</v>
      </c>
      <c r="G10" s="547">
        <f>IF(ISNUMBER(Datos!I10),Datos!I10," - ")</f>
        <v>84</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7</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73</v>
      </c>
      <c r="AC10" s="551">
        <f>IF(ISNUMBER(Datos!Q10),Datos!Q10," - ")</f>
        <v>4</v>
      </c>
      <c r="AD10" s="553"/>
      <c r="AE10" s="567"/>
      <c r="AF10" s="555">
        <f>IF(ISNUMBER(Datos!L10),Datos!L10,"-")</f>
        <v>90</v>
      </c>
      <c r="AG10" s="553"/>
      <c r="AH10" s="553"/>
      <c r="AI10" s="553"/>
      <c r="AJ10" s="553"/>
      <c r="AK10" s="553"/>
      <c r="AL10" s="554"/>
      <c r="AM10" s="771">
        <f>IF(ISNUMBER(Datos!R10),Datos!R10," - ")</f>
        <v>77</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29</v>
      </c>
      <c r="BD10" s="697">
        <f>IF(ISNUMBER(Datos!N10),Datos!N10," - ")</f>
        <v>28</v>
      </c>
      <c r="BE10" s="697" t="str">
        <f>IF(ISNUMBER(Datos!BW10),Datos!BW10," - ")</f>
        <v xml:space="preserve"> - </v>
      </c>
      <c r="BF10" s="767" t="str">
        <f>IF(ISNUMBER(Datos!BX10),Datos!BX10," - ")</f>
        <v xml:space="preserve"> - </v>
      </c>
      <c r="BG10" s="768">
        <f>IF(ISNUMBER(Datos!K10/Datos!J10),Datos!K10/Datos!J10," - ")</f>
        <v>0.92405063291139244</v>
      </c>
      <c r="BH10" s="769">
        <f>IF(ISNUMBER(((Datos!L10/Datos!K10)*11)/factor_trimestre),((Datos!L10/Datos!K10)*11)/factor_trimestre," - ")</f>
        <v>13.561643835616438</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4.0540540540540543E-2</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5</v>
      </c>
      <c r="B12" s="750" t="s">
        <v>324</v>
      </c>
      <c r="C12" s="751" t="str">
        <f>Datos!A12</f>
        <v xml:space="preserve">Jdos. 1ª Instª. e Instr.                        </v>
      </c>
      <c r="D12" s="605"/>
      <c r="E12" s="553">
        <f>IF(ISNUMBER(Datos!AQ12),Datos!AQ12," - ")</f>
        <v>5</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228</v>
      </c>
      <c r="O12" s="553"/>
      <c r="P12" s="553"/>
      <c r="Q12" s="551">
        <f>IF(ISNUMBER(Datos!P12),Datos!P12,0)</f>
        <v>912</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474</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109</v>
      </c>
      <c r="AI12" s="553" t="str">
        <f>IF(ISNUMBER(Datos!CD12),Datos!CD12,"-")</f>
        <v>-</v>
      </c>
      <c r="AJ12" s="553" t="str">
        <f>IF(ISNUMBER(Datos!EN12),Datos!EN12," - ")</f>
        <v xml:space="preserve"> - </v>
      </c>
      <c r="AK12" s="553"/>
      <c r="AL12" s="554"/>
      <c r="AM12" s="771">
        <f>IF(ISNUMBER(Datos!R12),Datos!R12," - ")</f>
        <v>6944</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790</v>
      </c>
      <c r="BD12" s="697">
        <f>IF(ISNUMBER(Datos!N12),Datos!N12," - ")</f>
        <v>1613</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1.029797377830751</v>
      </c>
      <c r="BH12" s="769">
        <f>IF(ISNUMBER(((IF(J_V="SI",Datos!L12/Datos!K12,(Datos!L12+Datos!AB12)/(Datos!K12+Datos!AA12)))*11)/factor_trimestre),((IF(J_V="SI",Datos!L12/Datos!K12,(Datos!L12+Datos!AB12)/(Datos!K12+Datos!AA12)))*11)/factor_trimestre," - ")</f>
        <v>10.788657407407408</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6.7322471564709496E-2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5</v>
      </c>
      <c r="F14" s="1200">
        <f t="shared" si="1"/>
        <v>84</v>
      </c>
      <c r="G14" s="1200">
        <f t="shared" si="1"/>
        <v>84</v>
      </c>
      <c r="H14" s="1201">
        <f t="shared" si="1"/>
        <v>0</v>
      </c>
      <c r="I14" s="1200">
        <f t="shared" si="1"/>
        <v>0</v>
      </c>
      <c r="J14" s="1167">
        <f t="shared" si="1"/>
        <v>0</v>
      </c>
      <c r="K14" s="1167">
        <f t="shared" si="1"/>
        <v>0</v>
      </c>
      <c r="L14" s="1201">
        <f t="shared" si="1"/>
        <v>0</v>
      </c>
      <c r="M14" s="1201">
        <f t="shared" si="1"/>
        <v>0</v>
      </c>
      <c r="N14" s="1201">
        <f t="shared" si="1"/>
        <v>228</v>
      </c>
      <c r="O14" s="1202">
        <f t="shared" si="1"/>
        <v>0</v>
      </c>
      <c r="P14" s="1202">
        <f t="shared" si="1"/>
        <v>0</v>
      </c>
      <c r="Q14" s="1201">
        <f t="shared" si="1"/>
        <v>919</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73</v>
      </c>
      <c r="AC14" s="1201">
        <f t="shared" si="2"/>
        <v>478</v>
      </c>
      <c r="AD14" s="1201">
        <f t="shared" si="2"/>
        <v>0</v>
      </c>
      <c r="AE14" s="1201">
        <f t="shared" si="2"/>
        <v>0</v>
      </c>
      <c r="AF14" s="1201">
        <f t="shared" si="2"/>
        <v>90</v>
      </c>
      <c r="AG14" s="1201">
        <f t="shared" si="2"/>
        <v>0</v>
      </c>
      <c r="AH14" s="1201">
        <f t="shared" si="2"/>
        <v>109</v>
      </c>
      <c r="AI14" s="1201">
        <f t="shared" si="2"/>
        <v>0</v>
      </c>
      <c r="AJ14" s="1201">
        <f t="shared" si="2"/>
        <v>0</v>
      </c>
      <c r="AK14" s="1201">
        <f t="shared" si="2"/>
        <v>0</v>
      </c>
      <c r="AL14" s="1201">
        <f t="shared" si="2"/>
        <v>0</v>
      </c>
      <c r="AM14" s="1201">
        <f t="shared" si="2"/>
        <v>7021</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819</v>
      </c>
      <c r="BD14" s="1201">
        <f t="shared" si="2"/>
        <v>1641</v>
      </c>
      <c r="BE14" s="1201">
        <f t="shared" si="2"/>
        <v>0</v>
      </c>
      <c r="BF14" s="1201">
        <f t="shared" si="2"/>
        <v>0</v>
      </c>
      <c r="BG14" s="1201">
        <f>IF(ISNUMBER(Datos!K14/Datos!J14),Datos!K14/Datos!J14," - ")</f>
        <v>1.0343549184379635</v>
      </c>
      <c r="BH14" s="1205">
        <f>IF(ISNUMBER(((Datos!L14/Datos!K14)*11)/factor_trimestre),((Datos!L14/Datos!K14)*11)/factor_trimestre," - ")</f>
        <v>11.08673835125448</v>
      </c>
      <c r="BI14" s="1201">
        <f>IF(ISNUMBER('Resol  Asuntos'!D14/NºAsuntos!G14),'Resol  Asuntos'!D14/NºAsuntos!G14," - ")</f>
        <v>0.18643296152970634</v>
      </c>
      <c r="BJ14" s="1201" t="str">
        <f>IF(ISNUMBER(Datos!CI14/Datos!CJ14),Datos!CI14/Datos!CJ14," - ")</f>
        <v xml:space="preserve"> - </v>
      </c>
      <c r="BK14" s="1201">
        <f>SUBTOTAL(9,BK8:BK13)</f>
        <v>0</v>
      </c>
      <c r="BL14" s="1201">
        <f>IF(ISNUMBER((I14-AB14+L14)/(F14)),(I14-AB14+L14)/(F14)," - ")</f>
        <v>-0.86904761904761907</v>
      </c>
      <c r="BM14" s="1206">
        <f>SUBTOTAL(9,BM9:BM13)</f>
        <v>0.10786301210525004</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515</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5</v>
      </c>
      <c r="B17" s="741" t="s">
        <v>515</v>
      </c>
      <c r="C17" s="754" t="str">
        <f>Datos!A17</f>
        <v xml:space="preserve">Jdos. 1ª Instª. e Instr.                        </v>
      </c>
      <c r="D17" s="755"/>
      <c r="E17" s="746">
        <f>IF(ISNUMBER(Datos!AQ17),Datos!AQ17," - ")</f>
        <v>5</v>
      </c>
      <c r="F17" s="744">
        <f>IF(ISNUMBER(AF17+AB17-Datos!J17-L17),AF17+AB17-Datos!J17-L17," - ")</f>
        <v>2894</v>
      </c>
      <c r="G17" s="747">
        <f>IF(ISNUMBER(IF(D_I="SI",Datos!I17,Datos!I17+Datos!AC17)),IF(D_I="SI",Datos!I17,Datos!I17+Datos!AC17)," - ")</f>
        <v>3573</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96</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3913</v>
      </c>
      <c r="AC17" s="240">
        <f>IF(ISNUMBER(Datos!Q17),Datos!Q17," - ")</f>
        <v>38</v>
      </c>
      <c r="AD17" s="374"/>
      <c r="AE17" s="566"/>
      <c r="AF17" s="745">
        <f>IF(ISNUMBER(IF(D_I="SI",Datos!L17,Datos!L17+Datos!AF17)),IF(D_I="SI",Datos!L17,Datos!L17+Datos!AF17)," - ")</f>
        <v>3232</v>
      </c>
      <c r="AG17" s="374"/>
      <c r="AH17" s="374"/>
      <c r="AI17" s="374"/>
      <c r="AJ17" s="553"/>
      <c r="AK17" s="374"/>
      <c r="AL17" s="549"/>
      <c r="AM17" s="375">
        <f>IF(ISNUMBER(Datos!R17),Datos!R17," - ")</f>
        <v>179</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514</v>
      </c>
      <c r="BD17" s="243">
        <f>IF(ISNUMBER(Datos!N17),Datos!N17," - ")</f>
        <v>2347</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0.92048929663608559</v>
      </c>
      <c r="BH17" s="769">
        <f>IF(ISNUMBER(((IF(D_I="SI",Datos!L17/Datos!K17,(Datos!L17+Datos!AF17)/(Datos!K17+Datos!AE17)))*11)/factor_trimestre),((IF(D_I="SI",Datos!L17/Datos!K17,(Datos!L17+Datos!AF17)/(Datos!K17+Datos!AE17)))*11)/factor_trimestre," - ")</f>
        <v>9.0856120623562475</v>
      </c>
      <c r="BI17" s="266">
        <f>IF(ISNUMBER('Resol  Asuntos'!D17/NºAsuntos!G17),'Resol  Asuntos'!D17/NºAsuntos!G17," - ")</f>
        <v>0.13135701507794531</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321</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5</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319</v>
      </c>
      <c r="AC18" s="551">
        <f>IF(ISNUMBER(Datos!Q18),Datos!Q18," - ")</f>
        <v>7</v>
      </c>
      <c r="AD18" s="553"/>
      <c r="AE18" s="566"/>
      <c r="AF18" s="555">
        <f>IF(ISNUMBER(Datos!L18),Datos!L18,"-")</f>
        <v>455</v>
      </c>
      <c r="AG18" s="553"/>
      <c r="AH18" s="553"/>
      <c r="AI18" s="553"/>
      <c r="AJ18" s="553"/>
      <c r="AK18" s="553"/>
      <c r="AL18" s="554"/>
      <c r="AM18" s="771">
        <f>IF(ISNUMBER(Datos!R18),Datos!R18," - ")</f>
        <v>9</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29</v>
      </c>
      <c r="BD18" s="697">
        <f>IF(ISNUMBER(Datos!N18),Datos!N18," - ")</f>
        <v>152</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0.70731707317073167</v>
      </c>
      <c r="BH18" s="769">
        <f>IF(ISNUMBER(((IF(D_I="SI",Datos!L18/Datos!K18,(Datos!L18+Datos!AF18)/(Datos!K18+Datos!AE18)))*11)/factor_trimestre),((IF(D_I="SI",Datos!L18/Datos!K18,(Datos!L18+Datos!AF18)/(Datos!K18+Datos!AE18)))*11)/factor_trimestre," - ")</f>
        <v>15.689655172413794</v>
      </c>
      <c r="BI18" s="768">
        <f>IF(ISNUMBER('Resol  Asuntos'!D18/NºAsuntos!G18),'Resol  Asuntos'!D18/NºAsuntos!G18," - ")</f>
        <v>9.0909090909090912E-2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5</v>
      </c>
      <c r="F23" s="1200">
        <f>SUBTOTAL(9,F16:F22)</f>
        <v>2894</v>
      </c>
      <c r="G23" s="1200">
        <f>SUBTOTAL(9,G16:G22)</f>
        <v>3894</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101</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4232</v>
      </c>
      <c r="AC23" s="1201">
        <f t="shared" si="5"/>
        <v>45</v>
      </c>
      <c r="AD23" s="1201">
        <f t="shared" si="5"/>
        <v>0</v>
      </c>
      <c r="AE23" s="1201">
        <f t="shared" si="5"/>
        <v>0</v>
      </c>
      <c r="AF23" s="1201">
        <f t="shared" si="5"/>
        <v>3687</v>
      </c>
      <c r="AG23" s="1201">
        <f t="shared" si="5"/>
        <v>0</v>
      </c>
      <c r="AH23" s="1201">
        <f t="shared" si="5"/>
        <v>0</v>
      </c>
      <c r="AI23" s="1201">
        <f t="shared" si="5"/>
        <v>0</v>
      </c>
      <c r="AJ23" s="1201">
        <f t="shared" si="5"/>
        <v>0</v>
      </c>
      <c r="AK23" s="1201">
        <f t="shared" si="5"/>
        <v>0</v>
      </c>
      <c r="AL23" s="1201">
        <f t="shared" si="5"/>
        <v>0</v>
      </c>
      <c r="AM23" s="1201">
        <f t="shared" si="5"/>
        <v>188</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543</v>
      </c>
      <c r="BD23" s="1201">
        <f t="shared" si="5"/>
        <v>2499</v>
      </c>
      <c r="BE23" s="1201">
        <f t="shared" si="5"/>
        <v>0</v>
      </c>
      <c r="BF23" s="1201">
        <f t="shared" si="5"/>
        <v>0</v>
      </c>
      <c r="BG23" s="1201">
        <f>IF(ISNUMBER(Datos!K23/Datos!J23),Datos!K23/Datos!J23," - ")</f>
        <v>0.90004253509145049</v>
      </c>
      <c r="BH23" s="1205">
        <f>IF(ISNUMBER(((Datos!L23/Datos!K23)*11)/factor_trimestre),((Datos!L23/Datos!K23)*11)/factor_trimestre," - ")</f>
        <v>9.5834120982986768</v>
      </c>
      <c r="BI23" s="1201">
        <f>SUBTOTAL(9,BI16:BI22)</f>
        <v>0.22226610598703622</v>
      </c>
      <c r="BJ23" s="1201">
        <f>SUBTOTAL(9,BJ16:BJ22)</f>
        <v>0</v>
      </c>
      <c r="BK23" s="1201">
        <f>SUBTOTAL(9,BK16:BK22)</f>
        <v>0</v>
      </c>
      <c r="BL23" s="1201">
        <f>IF(ISNUMBER((I23-AB23+L23)/(F23)),(I23-AB23+L23)/(F23)," - ")</f>
        <v>-1.4623358673116793</v>
      </c>
      <c r="BM23" s="1208">
        <f>IF(ISNUMBER((Datos!P23-Datos!Q23)/(Datos!R23-Datos!P23+Datos!Q23)),(Datos!P23-Datos!Q23)/(Datos!R23-Datos!P23+Datos!Q23)," - ")</f>
        <v>0.42424242424242425</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10</v>
      </c>
      <c r="F31" s="1120">
        <f t="shared" si="16"/>
        <v>2978</v>
      </c>
      <c r="G31" s="1120">
        <f t="shared" si="16"/>
        <v>3978</v>
      </c>
      <c r="H31" s="1122">
        <f t="shared" si="16"/>
        <v>0</v>
      </c>
      <c r="I31" s="1120">
        <f t="shared" si="16"/>
        <v>0</v>
      </c>
      <c r="J31" s="1122">
        <f t="shared" si="16"/>
        <v>0</v>
      </c>
      <c r="K31" s="1122">
        <f t="shared" si="16"/>
        <v>0</v>
      </c>
      <c r="L31" s="1183">
        <f t="shared" si="16"/>
        <v>0</v>
      </c>
      <c r="M31" s="1183">
        <f t="shared" si="16"/>
        <v>0</v>
      </c>
      <c r="N31" s="1183">
        <f t="shared" si="16"/>
        <v>228</v>
      </c>
      <c r="O31" s="1183">
        <f t="shared" si="16"/>
        <v>0</v>
      </c>
      <c r="P31" s="1183">
        <f t="shared" si="16"/>
        <v>0</v>
      </c>
      <c r="Q31" s="1122">
        <f t="shared" si="16"/>
        <v>1020</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4305</v>
      </c>
      <c r="AC31" s="1121">
        <f t="shared" si="17"/>
        <v>523</v>
      </c>
      <c r="AD31" s="1121">
        <f t="shared" si="17"/>
        <v>0</v>
      </c>
      <c r="AE31" s="1121">
        <f t="shared" si="17"/>
        <v>0</v>
      </c>
      <c r="AF31" s="1128">
        <f t="shared" si="17"/>
        <v>3777</v>
      </c>
      <c r="AG31" s="1128">
        <f t="shared" si="17"/>
        <v>0</v>
      </c>
      <c r="AH31" s="1128">
        <f t="shared" si="17"/>
        <v>109</v>
      </c>
      <c r="AI31" s="1128">
        <f t="shared" si="17"/>
        <v>0</v>
      </c>
      <c r="AJ31" s="1121">
        <f t="shared" si="17"/>
        <v>0</v>
      </c>
      <c r="AK31" s="1128">
        <f t="shared" si="17"/>
        <v>0</v>
      </c>
      <c r="AL31" s="1128">
        <f t="shared" si="17"/>
        <v>0</v>
      </c>
      <c r="AM31" s="1128">
        <f t="shared" si="17"/>
        <v>7209</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1362</v>
      </c>
      <c r="BD31" s="1120">
        <f t="shared" si="17"/>
        <v>4140</v>
      </c>
      <c r="BE31" s="1120">
        <f t="shared" si="17"/>
        <v>0</v>
      </c>
      <c r="BF31" s="1130">
        <f t="shared" si="17"/>
        <v>0</v>
      </c>
      <c r="BG31" s="1227">
        <f>IF(ISNUMBER(Datos!K31/Datos!J31),Datos!K31/Datos!J31," - ")</f>
        <v>0.96216278006401468</v>
      </c>
      <c r="BH31" s="1227">
        <f>IF(ISNUMBER(((Datos!L31/Datos!K31)*11)/factor_trimestre),((Datos!L31/Datos!K31)*11)/factor_trimestre," - ")</f>
        <v>10.330877985030295</v>
      </c>
      <c r="BI31" s="1106">
        <f>IF(ISNUMBER(Datos!J31/Datos!I31),Datos!J31/Datos!I31," - ")</f>
        <v>1.0576713819368879</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-1.4456010745466756</v>
      </c>
      <c r="BM31" s="1191">
        <f>IF(ISNUMBER((Datos!P31-Datos!Q31+R31)/(Datos!R31-Datos!P31+Datos!Q31-R31)),(Datos!P31-Datos!Q31+R31)/(Datos!R31-Datos!P31+Datos!Q31-R31)," - ")</f>
        <v>7.4046483909415969E-2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1136.5714285714287</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2.0942695414584778</v>
      </c>
      <c r="F33" s="677">
        <f>IF(ISNUMBER(STDEV(F8:F30)),STDEV(F8:F30),"-")</f>
        <v>1473.2454875772287</v>
      </c>
      <c r="G33" s="678">
        <f>IF(ISNUMBER(STDEV(G8:G30)),STDEV(G8:G30),"-")</f>
        <v>1779.7076405169153</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1946.9425603579921</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364.1165433523409</v>
      </c>
      <c r="BD33" s="677"/>
      <c r="BE33" s="677">
        <f>IF(ISNUMBER(STDEV(BE8:BE30)),STDEV(BE8:BE30),"-")</f>
        <v>0</v>
      </c>
      <c r="BF33" s="682">
        <f>IF(ISNUMBER(STDEV(BF8:BF30)),STDEV(BF8:BF30),"-")</f>
        <v>0</v>
      </c>
      <c r="BG33" s="1055">
        <f>IF(ISNUMBER(STDEV(BG8:BG30)),STDEV(BG8:BG30),"-")</f>
        <v>0.11897805541823737</v>
      </c>
      <c r="BH33" s="1061">
        <f>IF(ISNUMBER(STDEV(BH8:BH30)),STDEV(BH8:BH30),"-")</f>
        <v>2.5249724529003115</v>
      </c>
      <c r="BI33" s="273">
        <f>IF(ISNUMBER(STDEV(BI8:BI30)),STDEV(BI8:BI30),"-")</f>
        <v>5.8164527253355129E-2</v>
      </c>
      <c r="BJ33" s="244" t="str">
        <f>IF(ISNUMBER(BL33/BM33),BL33/BM33," - ")</f>
        <v xml:space="preserve"> - </v>
      </c>
      <c r="BK33" s="713"/>
      <c r="BL33" s="685">
        <f>IF(ISNUMBER(STDEV(BL8:BL30)),STDEV(BL8:BL30),"-")</f>
        <v>0.41951814354580474</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Zpqe5/3mlNOmqBz0L49Tpifkdjn/aCG4ZYZr/VYl6/sme2QN/FxVaydkn1dPXCv5tfeeThy6FBDeLMJsuP2SQg==" saltValue="XUtHvBQdXCWTvJxZWAjzBQ=="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VILAFRANCA DEL PENEDES</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0</v>
      </c>
      <c r="F10" s="556">
        <f>IF(ISNUMBER(Datos!L10+Datos!K10-Datos!J10),Datos!L10+Datos!K10-Datos!J10," - ")</f>
        <v>84</v>
      </c>
      <c r="G10" s="556">
        <f>IF(ISNUMBER(Datos!I10),Datos!I10," - ")</f>
        <v>84</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7</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73</v>
      </c>
      <c r="Z10" s="810">
        <f>IF(ISNUMBER(Datos!Q10),Datos!Q10," - ")</f>
        <v>4</v>
      </c>
      <c r="AA10" s="555">
        <f>IF(ISNUMBER(Datos!L10),Datos!L10,"-")</f>
        <v>90</v>
      </c>
      <c r="AB10" s="553"/>
      <c r="AC10" s="553"/>
      <c r="AD10" s="567"/>
      <c r="AE10" s="567">
        <f>IF(ISNUMBER(Datos!R10),Datos!R10," - ")</f>
        <v>77</v>
      </c>
      <c r="AF10" s="697" t="str">
        <f>IF(ISNUMBER(Datos!BV10),Datos!BV10," - ")</f>
        <v xml:space="preserve"> - </v>
      </c>
      <c r="AG10" s="556" t="str">
        <f>IF(ISNUMBER(Datos!DV10),Datos!DV10," - ")</f>
        <v xml:space="preserve"> - </v>
      </c>
      <c r="AH10" s="557"/>
      <c r="AI10" s="558"/>
      <c r="AJ10" s="556">
        <f>IF(ISNUMBER(Datos!M10),Datos!M10," - ")</f>
        <v>29</v>
      </c>
      <c r="AK10" s="697">
        <f>IF(ISNUMBER(Datos!N10),Datos!N10," - ")</f>
        <v>28</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13.561643835616438</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4.0540540540540543E-2</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5</v>
      </c>
      <c r="B12" s="750" t="s">
        <v>324</v>
      </c>
      <c r="C12" s="751" t="str">
        <f>Datos!A12</f>
        <v xml:space="preserve">Jdos. 1ª Instª. e Instr.                        </v>
      </c>
      <c r="D12" s="605"/>
      <c r="E12" s="752">
        <f>IF(ISNUMBER(Datos!AQ12),Datos!AQ12," - ")</f>
        <v>5</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912</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474</v>
      </c>
      <c r="AA12" s="555" t="str">
        <f>IF(ISNUMBER(IF(J_V="SI",Datos!L12,Datos!L12+Datos!AB12)-IF(Monitorios="SI",Datos!CD12,0)),
                          IF(J_V="SI",Datos!L12,Datos!L12+Datos!AB12)-IF(Monitorios="SI",Datos!CD12,0),
                          " - ")</f>
        <v xml:space="preserve"> - </v>
      </c>
      <c r="AB12" s="553"/>
      <c r="AC12" s="553"/>
      <c r="AD12" s="567"/>
      <c r="AE12" s="567">
        <f>IF(ISNUMBER(Datos!R12),Datos!R12," - ")</f>
        <v>6944</v>
      </c>
      <c r="AF12" s="697" t="str">
        <f>IF(ISNUMBER(Datos!BV12),Datos!BV12," - ")</f>
        <v xml:space="preserve"> - </v>
      </c>
      <c r="AG12" s="556" t="str">
        <f>IF(ISNUMBER(Datos!DV12),Datos!DV12," - ")</f>
        <v xml:space="preserve"> - </v>
      </c>
      <c r="AH12" s="557"/>
      <c r="AI12" s="558"/>
      <c r="AJ12" s="556">
        <f>IF(ISNUMBER(Datos!M12),Datos!M12," - ")</f>
        <v>790</v>
      </c>
      <c r="AK12" s="697">
        <f>IF(ISNUMBER(Datos!N12),Datos!N12," - ")</f>
        <v>1613</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10.788657407407408</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6.7322471564709496E-2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5</v>
      </c>
      <c r="F14" s="1200">
        <f>SUBTOTAL(9,F8:F13)</f>
        <v>84</v>
      </c>
      <c r="G14" s="1200">
        <f>SUBTOTAL(9,G8:G13)</f>
        <v>84</v>
      </c>
      <c r="H14" s="1214"/>
      <c r="I14" s="1200">
        <f t="shared" ref="I14:N14" si="1">SUBTOTAL(9,I8:I13)</f>
        <v>0</v>
      </c>
      <c r="J14" s="1167">
        <f t="shared" si="1"/>
        <v>0</v>
      </c>
      <c r="K14" s="1214">
        <f t="shared" si="1"/>
        <v>0</v>
      </c>
      <c r="L14" s="1214">
        <f t="shared" si="1"/>
        <v>0</v>
      </c>
      <c r="M14" s="1214">
        <f t="shared" si="1"/>
        <v>0</v>
      </c>
      <c r="N14" s="1214">
        <f t="shared" si="1"/>
        <v>919</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73</v>
      </c>
      <c r="Z14" s="1213">
        <f t="shared" si="3"/>
        <v>478</v>
      </c>
      <c r="AA14" s="1202">
        <f t="shared" si="3"/>
        <v>90</v>
      </c>
      <c r="AB14" s="1202">
        <f t="shared" si="3"/>
        <v>0</v>
      </c>
      <c r="AC14" s="1202">
        <f t="shared" si="3"/>
        <v>0</v>
      </c>
      <c r="AD14" s="1202">
        <f t="shared" si="3"/>
        <v>0</v>
      </c>
      <c r="AE14" s="1202">
        <f t="shared" si="3"/>
        <v>7021</v>
      </c>
      <c r="AF14" s="1214">
        <f t="shared" si="3"/>
        <v>0</v>
      </c>
      <c r="AG14" s="1214">
        <f t="shared" si="3"/>
        <v>0</v>
      </c>
      <c r="AH14" s="1214">
        <f t="shared" si="3"/>
        <v>0</v>
      </c>
      <c r="AI14" s="1214">
        <f t="shared" si="3"/>
        <v>0</v>
      </c>
      <c r="AJ14" s="1214">
        <f t="shared" si="3"/>
        <v>819</v>
      </c>
      <c r="AK14" s="1214">
        <f t="shared" si="3"/>
        <v>1641</v>
      </c>
      <c r="AL14" s="1214">
        <f t="shared" si="3"/>
        <v>0</v>
      </c>
      <c r="AM14" s="1214">
        <f t="shared" si="3"/>
        <v>0</v>
      </c>
      <c r="AN14" s="1214">
        <f t="shared" si="3"/>
        <v>0</v>
      </c>
      <c r="AO14" s="1206">
        <f>IF(ISNUMBER(((NºAsuntos!I14/NºAsuntos!G14)*11)/factor_trimestre),((NºAsuntos!I14/NºAsuntos!G14)*11)/factor_trimestre," - ")</f>
        <v>10.834737081720919</v>
      </c>
      <c r="AP14" s="1216" t="str">
        <f>IF(ISNUMBER(Datos!CI14/Datos!CJ14),Datos!CI14/Datos!CJ14," - ")</f>
        <v xml:space="preserve"> - </v>
      </c>
      <c r="AQ14" s="1240">
        <f>SUBTOTAL(9,AQ9:AQ13)</f>
        <v>0</v>
      </c>
      <c r="AR14" s="1240">
        <f>SUBTOTAL(9,AR9:AR13)</f>
        <v>0.10786301210525004</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515</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5</v>
      </c>
      <c r="B17" s="750" t="s">
        <v>515</v>
      </c>
      <c r="C17" s="770" t="str">
        <f>Datos!A17</f>
        <v xml:space="preserve">Jdos. 1ª Instª. e Instr.                        </v>
      </c>
      <c r="D17" s="597"/>
      <c r="E17" s="752">
        <f>IF(ISNUMBER(Datos!AQ17),Datos!AQ17," - ")</f>
        <v>5</v>
      </c>
      <c r="F17" s="547">
        <f>IF(ISNUMBER(AA17+Y17-Datos!J17-K16),AA17+Y17-Datos!J17-K16," - ")</f>
        <v>2894</v>
      </c>
      <c r="G17" s="556">
        <f>IF(ISNUMBER(IF(D_I="SI",Datos!I17,Datos!I17+Datos!AC17)),IF(D_I="SI",Datos!I17,Datos!I17+Datos!AC17)," - ")</f>
        <v>3573</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96</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3913</v>
      </c>
      <c r="Z17" s="810">
        <f>IF(ISNUMBER(Datos!Q17),Datos!Q17," - ")</f>
        <v>38</v>
      </c>
      <c r="AA17" s="555">
        <f>IF(ISNUMBER(IF(D_I="SI",Datos!L17,Datos!L17+Datos!AF17)),IF(D_I="SI",Datos!L17,Datos!L17+Datos!AF17)," - ")</f>
        <v>3232</v>
      </c>
      <c r="AB17" s="553"/>
      <c r="AC17" s="553"/>
      <c r="AD17" s="567"/>
      <c r="AE17" s="567">
        <f>IF(ISNUMBER(Datos!R17),Datos!R17," - ")</f>
        <v>179</v>
      </c>
      <c r="AF17" s="697" t="str">
        <f>IF(ISNUMBER(Datos!BV17),Datos!BV17," - ")</f>
        <v xml:space="preserve"> - </v>
      </c>
      <c r="AG17" s="556"/>
      <c r="AH17" s="557"/>
      <c r="AI17" s="558"/>
      <c r="AJ17" s="556">
        <f>IF(ISNUMBER(Datos!M17),Datos!M17," - ")</f>
        <v>514</v>
      </c>
      <c r="AK17" s="697">
        <f>IF(ISNUMBER(Datos!N17),Datos!N17," - ")</f>
        <v>2347</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9.0856120623562475</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321</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5</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319</v>
      </c>
      <c r="Z18" s="810">
        <f>IF(ISNUMBER(Datos!Q18),Datos!Q18," - ")</f>
        <v>7</v>
      </c>
      <c r="AA18" s="555">
        <f>IF(ISNUMBER(Datos!L18),Datos!L18,"-")</f>
        <v>455</v>
      </c>
      <c r="AB18" s="553"/>
      <c r="AC18" s="553"/>
      <c r="AD18" s="567"/>
      <c r="AE18" s="567">
        <f>IF(ISNUMBER(Datos!R18),Datos!R18," - ")</f>
        <v>9</v>
      </c>
      <c r="AF18" s="697" t="str">
        <f>IF(ISNUMBER(Datos!BV18),Datos!BV18," - ")</f>
        <v xml:space="preserve"> - </v>
      </c>
      <c r="AG18" s="556" t="str">
        <f>IF(ISNUMBER(Datos!DV18),Datos!DV18," - ")</f>
        <v xml:space="preserve"> - </v>
      </c>
      <c r="AH18" s="557"/>
      <c r="AI18" s="558"/>
      <c r="AJ18" s="556">
        <f>IF(ISNUMBER(Datos!M18),Datos!M18," - ")</f>
        <v>29</v>
      </c>
      <c r="AK18" s="697">
        <f>IF(ISNUMBER(Datos!N18),Datos!N18," - ")</f>
        <v>152</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15.689655172413794</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5</v>
      </c>
      <c r="F23" s="1200">
        <f>SUBTOTAL(9,F16:F22)</f>
        <v>2894</v>
      </c>
      <c r="G23" s="1200">
        <f>SUBTOTAL(9,G16:G22)</f>
        <v>3894</v>
      </c>
      <c r="H23" s="1245">
        <f>SUBTOTAL(9,H16:H22)</f>
        <v>0</v>
      </c>
      <c r="I23" s="1220">
        <f>SUBTOTAL(9,I16:I22)</f>
        <v>0</v>
      </c>
      <c r="J23" s="1167">
        <f>SUBTOTAL(9,J15:J22)</f>
        <v>0</v>
      </c>
      <c r="K23" s="1245">
        <f t="shared" ref="K23:S23" si="4">SUBTOTAL(9,K16:K22)</f>
        <v>0</v>
      </c>
      <c r="L23" s="1245">
        <f t="shared" si="4"/>
        <v>0</v>
      </c>
      <c r="M23" s="1245">
        <f t="shared" si="4"/>
        <v>0</v>
      </c>
      <c r="N23" s="1245">
        <f t="shared" si="4"/>
        <v>101</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4232</v>
      </c>
      <c r="Z23" s="1245">
        <f t="shared" si="5"/>
        <v>45</v>
      </c>
      <c r="AA23" s="1245">
        <f t="shared" si="5"/>
        <v>3687</v>
      </c>
      <c r="AB23" s="1245">
        <f t="shared" si="5"/>
        <v>0</v>
      </c>
      <c r="AC23" s="1245">
        <f t="shared" si="5"/>
        <v>0</v>
      </c>
      <c r="AD23" s="1245">
        <f t="shared" si="5"/>
        <v>0</v>
      </c>
      <c r="AE23" s="1245">
        <f t="shared" si="5"/>
        <v>188</v>
      </c>
      <c r="AF23" s="1245">
        <f t="shared" si="5"/>
        <v>0</v>
      </c>
      <c r="AG23" s="1245">
        <f t="shared" si="5"/>
        <v>0</v>
      </c>
      <c r="AH23" s="1245">
        <f t="shared" si="5"/>
        <v>0</v>
      </c>
      <c r="AI23" s="1245">
        <f t="shared" si="5"/>
        <v>0</v>
      </c>
      <c r="AJ23" s="1245">
        <f t="shared" si="5"/>
        <v>543</v>
      </c>
      <c r="AK23" s="1245">
        <f t="shared" si="5"/>
        <v>2499</v>
      </c>
      <c r="AL23" s="1245">
        <f t="shared" si="5"/>
        <v>0</v>
      </c>
      <c r="AM23" s="1245">
        <f t="shared" si="5"/>
        <v>0</v>
      </c>
      <c r="AN23" s="1245">
        <f t="shared" si="5"/>
        <v>0</v>
      </c>
      <c r="AO23" s="1247">
        <f>IF(ISNUMBER(((NºAsuntos!I23/NºAsuntos!G23)*11)/factor_trimestre),((NºAsuntos!I23/NºAsuntos!G23)*11)/factor_trimestre," - ")</f>
        <v>9.5834120982986768</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10</v>
      </c>
      <c r="F31" s="1120">
        <f t="shared" si="10"/>
        <v>2978</v>
      </c>
      <c r="G31" s="1120">
        <f t="shared" si="10"/>
        <v>3978</v>
      </c>
      <c r="H31" s="1121">
        <f t="shared" si="10"/>
        <v>0</v>
      </c>
      <c r="I31" s="1120">
        <f t="shared" si="10"/>
        <v>0</v>
      </c>
      <c r="J31" s="1122">
        <f t="shared" si="10"/>
        <v>0</v>
      </c>
      <c r="K31" s="1120">
        <f t="shared" si="10"/>
        <v>0</v>
      </c>
      <c r="L31" s="1123">
        <f t="shared" si="10"/>
        <v>0</v>
      </c>
      <c r="M31" s="1120">
        <f t="shared" si="10"/>
        <v>0</v>
      </c>
      <c r="N31" s="1121">
        <f t="shared" si="10"/>
        <v>1020</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4305</v>
      </c>
      <c r="Z31" s="1127">
        <f t="shared" si="11"/>
        <v>523</v>
      </c>
      <c r="AA31" s="1128">
        <f t="shared" si="11"/>
        <v>3777</v>
      </c>
      <c r="AB31" s="1128">
        <f t="shared" si="11"/>
        <v>0</v>
      </c>
      <c r="AC31" s="1128">
        <f t="shared" si="11"/>
        <v>0</v>
      </c>
      <c r="AD31" s="1129">
        <f t="shared" si="11"/>
        <v>0</v>
      </c>
      <c r="AE31" s="1129">
        <f t="shared" si="11"/>
        <v>7209</v>
      </c>
      <c r="AF31" s="1130">
        <f t="shared" si="11"/>
        <v>0</v>
      </c>
      <c r="AG31" s="1131">
        <f t="shared" si="11"/>
        <v>0</v>
      </c>
      <c r="AH31" s="1132">
        <f t="shared" si="11"/>
        <v>0</v>
      </c>
      <c r="AI31" s="1130">
        <f t="shared" si="11"/>
        <v>0</v>
      </c>
      <c r="AJ31" s="1120">
        <f t="shared" si="11"/>
        <v>1362</v>
      </c>
      <c r="AK31" s="1120">
        <f t="shared" si="11"/>
        <v>4140</v>
      </c>
      <c r="AL31" s="1120">
        <f t="shared" si="11"/>
        <v>0</v>
      </c>
      <c r="AM31" s="1133">
        <f t="shared" si="11"/>
        <v>0</v>
      </c>
      <c r="AN31" s="1123">
        <f>IF(ISNUMBER(Datos!K31/Datos!J31),Datos!K31/Datos!J31," - ")</f>
        <v>0.96216278006401468</v>
      </c>
      <c r="AO31" s="1123">
        <f>IF(ISNUMBER(FIND("06",Criterios!A8,1)),(IF(ISNUMBER(((Datos!R31/Datos!Q31)*11)/factor_trimestre),((Datos!R31/Datos!Q31)*11)/factor_trimestre," - ")),(IF(ISNUMBER(((Datos!L31/Datos!K31)*11)/factor_trimestre),((Datos!L31/Datos!K31)*11)/factor_trimestre," - ")))</f>
        <v>10.330877985030295</v>
      </c>
      <c r="AP31" s="1134" t="str">
        <f>IF(ISNUMBER(Datos!CI31/Datos!CJ31),Datos!CI31/Datos!CJ31," - ")</f>
        <v xml:space="preserve"> - </v>
      </c>
      <c r="AQ31" s="1134">
        <f>IF(OR(ISNUMBER(FIND("01",Criterios!A8,1)),ISNUMBER(FIND("02",Criterios!A8,1)),ISNUMBER(FIND("03",Criterios!A8,1)),ISNUMBER(FIND("04",Criterios!A8,1))),(J31-Y31+K31)/(F31-K31),(I31-Y31+K31)/(F31-K31))</f>
        <v>-1.4456010745466756</v>
      </c>
      <c r="AR31" s="1134">
        <f>IF(ISNUMBER((Datos!P31-Datos!Q31+O31)/(Datos!R31-Datos!P31+Datos!Q31-O31)),(Datos!P31-Datos!Q31+O31)/(Datos!R31-Datos!P31+Datos!Q31-O31)," - ")</f>
        <v>7.4046483909415969E-2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1136.5714285714287</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1473.2454875772287</v>
      </c>
      <c r="G33" s="678">
        <f>IF(ISNUMBER(STDEV(G8:G30)),STDEV(G8:G30),"-")</f>
        <v>1779.7076405169153</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364.1165433523409</v>
      </c>
      <c r="AK33" s="276"/>
      <c r="AL33" s="276">
        <f>IF(ISNUMBER(STDEV(AL8:AL30)),STDEV(AL8:AL30),"-")</f>
        <v>0</v>
      </c>
      <c r="AM33" s="278">
        <f>IF(ISNUMBER(STDEV(AM8:AM30)),STDEV(AM8:AM30),"-")</f>
        <v>0</v>
      </c>
      <c r="AN33" s="664">
        <f>IF(ISNUMBER(STDEV(AN8:AN30)),STDEV(AN8:AN30),"-")</f>
        <v>0</v>
      </c>
      <c r="AO33" s="665">
        <f>IF(ISNUMBER(STDEV(AO8:AO30)),STDEV(AO8:AO30),"-")</f>
        <v>2.537931268558189</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mAVZeRhFtaBQeUv2DlCo2WmeTK+Z9X64qQyrmQCED1EMcReT7DjRfxHd2RzQhOvtYCb8mL+azFbvKwVZHpVikg==" saltValue="fCPEMQFI1UGTrxZ/8AmW9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H/hS8Ob87auMrUI/92cFHT9P18RQVxvD5F0RqGkNAtxJIcxazX9piblIxA10IPLbIMnyEapBrJ5+H5cfw/DIJA==" saltValue="IaLw8tXYBTkVvEefIhr1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g2CLwnmesJDlrcHFTvSd2lZRQsCTMpPmZqm4RWEU91EhjWiD0sN+19g4kP/18bUWZZB9vJ4+a2RBogq3OCN4w==" saltValue="LEuUJxeQ5v7j6TuHk3xhfg=="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VILAFRANCA DEL PENEDES</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0.18643296152970634</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0.1318280113343461</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u0yIZWGHmjcl+BZE9ZHNRi1kkZaDPlrfUFwfNx05K8tAQgZhViuYdVqFqiN/+SuHIVEcmSAA7z1L5Go1Ua4hEQ==" saltValue="QuTbH0DjgRhdsJGpE39by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Uj9Ec8UZ9krUk+JzfihD6pmfhZ2qoPsCfmFkERdO+02FfX8jymo6wp/yaxQcOPeYmkDRDpmS4RjkHaeZXJ/+RA==" saltValue="KFPVEkupBhIIEV20A/EE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162</v>
      </c>
      <c r="B3" s="440" t="str">
        <f>Criterios!A10 &amp;"  "&amp;Criterios!B10</f>
        <v>Provincias  BARCELONA</v>
      </c>
      <c r="D3" s="437"/>
      <c r="E3" s="437"/>
      <c r="F3" s="437"/>
    </row>
    <row r="4" spans="1:14" ht="13.5" thickBot="1">
      <c r="A4" s="437"/>
      <c r="B4" s="440" t="str">
        <f>Criterios!A11 &amp;"  "&amp;Criterios!B11</f>
        <v>Resumenes por Partidos Judiciales  VILAFRANCA DEL PENEDES</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84</v>
      </c>
      <c r="D10" s="453">
        <f>IF(ISNUMBER(C10/Datos!BH10),C10/Datos!BH10," - ")</f>
        <v>84</v>
      </c>
      <c r="E10" s="452">
        <f>IF(ISNUMBER(Datos!J10),Datos!J10," - ")</f>
        <v>79</v>
      </c>
      <c r="F10" s="453">
        <f>IF(ISNUMBER(E10/B10),E10/B10," - ")</f>
        <v>79</v>
      </c>
      <c r="G10" s="452">
        <f>IF(ISNUMBER(Datos!K10),Datos!K10," - ")</f>
        <v>73</v>
      </c>
      <c r="H10" s="453">
        <f>IF(ISNUMBER(G10/B10),G10/B10," - ")</f>
        <v>73</v>
      </c>
      <c r="I10" s="452">
        <f>IF(ISNUMBER(Datos!L10),Datos!L10," - ")</f>
        <v>90</v>
      </c>
      <c r="J10" s="453">
        <f>IF(ISNUMBER(I10/B10),I10/B10," - ")</f>
        <v>90</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5</v>
      </c>
      <c r="C12" s="452">
        <f>IF(ISNUMBER(IF(J_V="SI",Datos!I12,Datos!I12+Datos!Y12)),IF(J_V="SI",Datos!I12,Datos!I12+Datos!Y12)," - ")</f>
        <v>4409</v>
      </c>
      <c r="D12" s="453">
        <f>IF(ISNUMBER(C12/Datos!BH12),C12/Datos!BH12," - ")</f>
        <v>881.8</v>
      </c>
      <c r="E12" s="452">
        <f>IF(ISNUMBER(IF(J_V="SI",Datos!J12,Datos!J12+Datos!Z12)),IF(J_V="SI",Datos!J12,Datos!J12+Datos!Z12)," - ")</f>
        <v>4195</v>
      </c>
      <c r="F12" s="453">
        <f>IF(ISNUMBER(E12/B12),E12/B12," - ")</f>
        <v>839</v>
      </c>
      <c r="G12" s="452">
        <f>IF(ISNUMBER(IF(J_V="SI",Datos!K12,Datos!K12+Datos!AA12)),IF(J_V="SI",Datos!K12,Datos!K12+Datos!AA12)," - ")</f>
        <v>4320</v>
      </c>
      <c r="H12" s="453">
        <f>IF(ISNUMBER(G12/B12),G12/B12," - ")</f>
        <v>864</v>
      </c>
      <c r="I12" s="452">
        <f>IF(ISNUMBER(IF(J_V="SI",Datos!L12,Datos!L12+Datos!AB12)),IF(J_V="SI",Datos!L12,Datos!L12+Datos!AB12)," - ")</f>
        <v>4237</v>
      </c>
      <c r="J12" s="453">
        <f>IF(ISNUMBER(I12/B12),I12/B12," - ")</f>
        <v>847.4</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5</v>
      </c>
      <c r="C14" s="1149">
        <f>SUBTOTAL(9,C8:C13)</f>
        <v>4493</v>
      </c>
      <c r="D14" s="1150" t="str">
        <f>IF(ISNUMBER(C14/Datos!BI14),C14/Datos!BI14," - ")</f>
        <v xml:space="preserve"> - </v>
      </c>
      <c r="E14" s="1149">
        <f>SUBTOTAL(9,E8:E13)</f>
        <v>4274</v>
      </c>
      <c r="F14" s="1150">
        <f>IF(ISNUMBER(E14/B14),E14/B14," - ")</f>
        <v>854.8</v>
      </c>
      <c r="G14" s="1149">
        <f>SUBTOTAL(9,G8:G13)</f>
        <v>4393</v>
      </c>
      <c r="H14" s="1150">
        <f>IF(ISNUMBER(G14/B14),G14/B14," - ")</f>
        <v>878.6</v>
      </c>
      <c r="I14" s="1149">
        <f>SUBTOTAL(9,I8:I13)</f>
        <v>4327</v>
      </c>
      <c r="J14" s="1150">
        <f>IF(ISNUMBER(I14/B14),I14/B14," - ")</f>
        <v>865.4</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5</v>
      </c>
      <c r="C17" s="452">
        <f>IF(ISNUMBER(IF(D_I="SI",Datos!I17,Datos!I17+Datos!AC17)),IF(D_I="SI",Datos!I17,Datos!I17+Datos!AC17)," - ")</f>
        <v>3573</v>
      </c>
      <c r="D17" s="453">
        <f>IF(ISNUMBER(C17/Datos!BH17),C17/Datos!BH17," - ")</f>
        <v>714.6</v>
      </c>
      <c r="E17" s="452">
        <f>IF(ISNUMBER(IF(D_I="SI",Datos!J17,Datos!J17+Datos!AD17)),IF(D_I="SI",Datos!J17,Datos!J17+Datos!AD17)," - ")</f>
        <v>4251</v>
      </c>
      <c r="F17" s="453">
        <f>IF(ISNUMBER(E17/B17),E17/B17," - ")</f>
        <v>850.2</v>
      </c>
      <c r="G17" s="452">
        <f>IF(ISNUMBER(IF(D_I="SI",Datos!K17,Datos!K17+Datos!AE17)),IF(D_I="SI",Datos!K17,Datos!K17+Datos!AE17)," - ")</f>
        <v>3913</v>
      </c>
      <c r="H17" s="453">
        <f>IF(ISNUMBER(G17/B17),G17/B17," - ")</f>
        <v>782.6</v>
      </c>
      <c r="I17" s="452">
        <f>IF(ISNUMBER(IF(D_I="SI",Datos!L17,Datos!L17+Datos!AF17)),IF(D_I="SI",Datos!L17,Datos!L17+Datos!AF17)," - ")</f>
        <v>3232</v>
      </c>
      <c r="J17" s="453">
        <f>IF(ISNUMBER(I17/B17),I17/B17," - ")</f>
        <v>646.4</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321</v>
      </c>
      <c r="D18" s="453">
        <f>IF(ISNUMBER(C18/Datos!BH18),C18/Datos!BH18," - ")</f>
        <v>321</v>
      </c>
      <c r="E18" s="452">
        <f>IF(ISNUMBER(IF(D_I="SI",Datos!J18,Datos!J18+Datos!AD18)),IF(D_I="SI",Datos!J18,Datos!J18+Datos!AD18)," - ")</f>
        <v>451</v>
      </c>
      <c r="F18" s="453">
        <f>IF(ISNUMBER(E18/B18),E18/B18," - ")</f>
        <v>451</v>
      </c>
      <c r="G18" s="452">
        <f>IF(ISNUMBER(IF(D_I="SI",Datos!K18,Datos!K18+Datos!AE18)),IF(D_I="SI",Datos!K18,Datos!K18+Datos!AE18)," - ")</f>
        <v>319</v>
      </c>
      <c r="H18" s="453">
        <f>IF(ISNUMBER(G18/B18),G18/B18," - ")</f>
        <v>319</v>
      </c>
      <c r="I18" s="452">
        <f>IF(ISNUMBER(IF(D_I="SI",Datos!L18,Datos!L18+Datos!AF18)),IF(D_I="SI",Datos!L18,Datos!L18+Datos!AF18)," - ")</f>
        <v>455</v>
      </c>
      <c r="J18" s="453">
        <f>IF(ISNUMBER(I18/B18),I18/B18," - ")</f>
        <v>455</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5</v>
      </c>
      <c r="C23" s="1149">
        <f>SUBTOTAL(9,C15:C22)</f>
        <v>3894</v>
      </c>
      <c r="D23" s="1150" t="str">
        <f>IF(ISNUMBER(C23/Datos!BI23),C23/Datos!BI23," - ")</f>
        <v xml:space="preserve"> - </v>
      </c>
      <c r="E23" s="1149">
        <f>SUBTOTAL(9,E15:E22)</f>
        <v>4702</v>
      </c>
      <c r="F23" s="1150">
        <f>IF(ISNUMBER(E23/B23),E23/B23," - ")</f>
        <v>940.4</v>
      </c>
      <c r="G23" s="1149">
        <f>SUBTOTAL(9,G15:G22)</f>
        <v>4232</v>
      </c>
      <c r="H23" s="1150">
        <f>IF(ISNUMBER(G23/B23),G23/B23," - ")</f>
        <v>846.4</v>
      </c>
      <c r="I23" s="1149">
        <f>SUBTOTAL(9,I15:I22)</f>
        <v>3687</v>
      </c>
      <c r="J23" s="1150">
        <f>IF(ISNUMBER(I23/B23),I23/B23," - ")</f>
        <v>737.4</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5</v>
      </c>
      <c r="C31" s="1087">
        <f>SUBTOTAL(9,C9:C30)</f>
        <v>8387</v>
      </c>
      <c r="D31" s="1088" t="str">
        <f>IF(ISNUMBER(C31/Datos!BI31),C31/Datos!BI31," - ")</f>
        <v xml:space="preserve"> - </v>
      </c>
      <c r="E31" s="1087">
        <f>SUBTOTAL(9,E9:E30)</f>
        <v>8976</v>
      </c>
      <c r="F31" s="1088">
        <f>IF(ISNUMBER(E31/B31),E31/B31," - ")</f>
        <v>1795.2</v>
      </c>
      <c r="G31" s="1087">
        <f>SUBTOTAL(9,G9:G30)</f>
        <v>8625</v>
      </c>
      <c r="H31" s="1088">
        <f>IF(ISNUMBER(G31/B31),G31/B31," - ")</f>
        <v>1725</v>
      </c>
      <c r="I31" s="1087">
        <f>SUBTOTAL(9,I9:I30)</f>
        <v>8014</v>
      </c>
      <c r="J31" s="1088">
        <f>IF(ISNUMBER(I31/B31),I31/B31," - ")</f>
        <v>1602.8</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vd9HfR/nm71+HMhHZEo55RLbJRwd9JI6wMqUOyYaYXOoS1RJQc/bky3DNw3HzULvf587Fxh3CjGxkSfzLnWNuw==" saltValue="Y7GNSv5iP3K2YTmF8Tzp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VILAFRANCA DEL PENEDES</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0</v>
      </c>
      <c r="F10" s="908">
        <f>IF(ISNUMBER(Datos!L10+Datos!K10-Datos!J10),Datos!L10+Datos!K10-Datos!J10," - ")</f>
        <v>84</v>
      </c>
      <c r="G10" s="909">
        <f>IF(ISNUMBER(Datos!I10),Datos!I10," - ")</f>
        <v>84</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7</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73</v>
      </c>
      <c r="AC10" s="908" t="str">
        <f>IF(ISNUMBER(IF(D_I="SI",DatosP!K18,DatosP!K18+DatosP!AE18)),IF(D_I="SI",DatosP!K18,DatosP!K18+DatosP!AE18)," - ")</f>
        <v xml:space="preserve"> - </v>
      </c>
      <c r="AD10" s="910"/>
      <c r="AE10" s="910"/>
      <c r="AF10" s="913">
        <f>IF(ISNUMBER(Datos!L10),Datos!L10,"-")</f>
        <v>90</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29</v>
      </c>
      <c r="AM10" s="917">
        <f>IF(ISNUMBER(Datos!N10+DatosP!N18),Datos!N10+DatosP!N18," - ")</f>
        <v>28</v>
      </c>
      <c r="AN10" s="917">
        <f>IF(ISNUMBER(Datos!BW10+DatosP!BW18),Datos!BW10+DatosP!BW18," - ")</f>
        <v>0</v>
      </c>
      <c r="AO10" s="918">
        <f>IF(ISNUMBER(Datos!BX10+DatosP!BX18),Datos!BX10+DatosP!BX18," - ")</f>
        <v>0</v>
      </c>
      <c r="AP10" s="920">
        <f>IF(ISNUMBER(((Datos!L10/Datos!K10)*11)/factor_trimestre),((Datos!L10/Datos!K10)*11)/factor_trimestre," - ")</f>
        <v>13.561643835616438</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5</v>
      </c>
      <c r="B12" s="750" t="s">
        <v>324</v>
      </c>
      <c r="C12" s="751" t="str">
        <f>Datos!A12</f>
        <v xml:space="preserve">Jdos. 1ª Instª. e Instr.                        </v>
      </c>
      <c r="D12" s="605"/>
      <c r="E12" s="907">
        <f>IF(ISNUMBER(Datos!AQ12),Datos!AQ12," - ")</f>
        <v>5</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912</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474</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6944</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790</v>
      </c>
      <c r="AM12" s="917">
        <f>IF(ISNUMBER(Datos!N12+DatosP!N17),Datos!N12+DatosP!N17," - ")</f>
        <v>1613</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10.788657407407408</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6.7322471564709496E-2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5</v>
      </c>
      <c r="F14" s="1261">
        <f t="shared" si="0"/>
        <v>84</v>
      </c>
      <c r="G14" s="1261">
        <f t="shared" si="0"/>
        <v>84</v>
      </c>
      <c r="H14" s="1261">
        <f t="shared" si="0"/>
        <v>0</v>
      </c>
      <c r="I14" s="1263">
        <f t="shared" si="0"/>
        <v>0</v>
      </c>
      <c r="J14" s="1262">
        <f t="shared" si="0"/>
        <v>0</v>
      </c>
      <c r="K14" s="1262">
        <f t="shared" si="0"/>
        <v>0</v>
      </c>
      <c r="L14" s="1264">
        <f t="shared" si="0"/>
        <v>0</v>
      </c>
      <c r="M14" s="1264">
        <f t="shared" si="0"/>
        <v>0</v>
      </c>
      <c r="N14" s="1262">
        <f t="shared" si="0"/>
        <v>919</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73</v>
      </c>
      <c r="AC14" s="1262">
        <f t="shared" si="1"/>
        <v>0</v>
      </c>
      <c r="AD14" s="1262">
        <f t="shared" si="1"/>
        <v>474</v>
      </c>
      <c r="AE14" s="1262">
        <f t="shared" si="1"/>
        <v>0</v>
      </c>
      <c r="AF14" s="1262">
        <f t="shared" si="1"/>
        <v>90</v>
      </c>
      <c r="AG14" s="1262">
        <f t="shared" si="1"/>
        <v>0</v>
      </c>
      <c r="AH14" s="1262">
        <f t="shared" si="1"/>
        <v>6944</v>
      </c>
      <c r="AI14" s="1262">
        <f t="shared" si="1"/>
        <v>0</v>
      </c>
      <c r="AJ14" s="1262">
        <f t="shared" si="1"/>
        <v>0</v>
      </c>
      <c r="AK14" s="1262">
        <f t="shared" si="1"/>
        <v>0</v>
      </c>
      <c r="AL14" s="1262">
        <f t="shared" si="1"/>
        <v>819</v>
      </c>
      <c r="AM14" s="1262">
        <f t="shared" si="1"/>
        <v>1641</v>
      </c>
      <c r="AN14" s="1262">
        <f t="shared" si="1"/>
        <v>0</v>
      </c>
      <c r="AO14" s="1262">
        <f t="shared" si="1"/>
        <v>0</v>
      </c>
      <c r="AP14" s="1267">
        <f>IF(ISNUMBER(((Datos!L14/Datos!K14)*11)/factor_trimestre),((Datos!L14/Datos!K14)*11)/factor_trimestre," - ")</f>
        <v>11.08673835125448</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-0.86904761904761907</v>
      </c>
      <c r="AU14" s="1262" t="str">
        <f>IF(ISNUMBER((DatosP!#REF!-DatosP!#REF!+DatosP!#REF!)/(DatosP!#REF!+DatosP!#REF!-DatosP!#REF!-DatosP!#REF!)),(DatosP!#REF!-DatosP!#REF!+DatosP!#REF!)/(DatosP!#REF!+DatosP!#REF!-DatosP!#REF!-DatosP!#REF!)," - ")</f>
        <v xml:space="preserve"> - </v>
      </c>
      <c r="AV14" s="1268">
        <f>SUBTOTAL(9,AV9:AV13)</f>
        <v>6.7322471564709496E-2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5</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9.5834120982986768</v>
      </c>
      <c r="AQ23" s="1267">
        <f>IF(ISNUMBER(((Datos!M23/Datos!L23)*11)/factor_trimestre),((Datos!M23/Datos!L23)*11)/factor_trimestre," - ")</f>
        <v>1.6200162733930024</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0.42424242424242425</v>
      </c>
      <c r="AW23" s="1270">
        <f>IF(ISNUMBER((Datos!Q23-Datos!R23)/(Datos!S23-Datos!Q23+Datos!R23)),(Datos!Q23-Datos!R23)/(Datos!S23-Datos!Q23+Datos!R23)," - ")</f>
        <v>-5.0565770862800563E-2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5</v>
      </c>
      <c r="F31" s="1283">
        <f t="shared" si="8"/>
        <v>84</v>
      </c>
      <c r="G31" s="1283">
        <f t="shared" si="8"/>
        <v>84</v>
      </c>
      <c r="H31" s="1283">
        <f t="shared" si="8"/>
        <v>0</v>
      </c>
      <c r="I31" s="1284">
        <f t="shared" si="8"/>
        <v>0</v>
      </c>
      <c r="J31" s="1285">
        <f t="shared" si="8"/>
        <v>0</v>
      </c>
      <c r="K31" s="1285">
        <f t="shared" si="8"/>
        <v>0</v>
      </c>
      <c r="L31" s="1285">
        <f t="shared" si="8"/>
        <v>0</v>
      </c>
      <c r="M31" s="1285">
        <f t="shared" si="8"/>
        <v>0</v>
      </c>
      <c r="N31" s="1284">
        <f t="shared" si="8"/>
        <v>919</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73</v>
      </c>
      <c r="AC31" s="1289">
        <f t="shared" si="9"/>
        <v>0</v>
      </c>
      <c r="AD31" s="1289">
        <f t="shared" si="9"/>
        <v>474</v>
      </c>
      <c r="AE31" s="1289">
        <f t="shared" si="9"/>
        <v>0</v>
      </c>
      <c r="AF31" s="1290">
        <f t="shared" si="9"/>
        <v>90</v>
      </c>
      <c r="AG31" s="1290">
        <f t="shared" si="9"/>
        <v>0</v>
      </c>
      <c r="AH31" s="1290">
        <f t="shared" si="9"/>
        <v>6944</v>
      </c>
      <c r="AI31" s="1290">
        <f t="shared" si="9"/>
        <v>0</v>
      </c>
      <c r="AJ31" s="1291">
        <f t="shared" si="9"/>
        <v>0</v>
      </c>
      <c r="AK31" s="1291">
        <f t="shared" si="9"/>
        <v>0</v>
      </c>
      <c r="AL31" s="1283">
        <f t="shared" si="9"/>
        <v>819</v>
      </c>
      <c r="AM31" s="1283">
        <f t="shared" si="9"/>
        <v>1641</v>
      </c>
      <c r="AN31" s="1283">
        <f t="shared" si="9"/>
        <v>0</v>
      </c>
      <c r="AO31" s="1283">
        <f t="shared" si="9"/>
        <v>0</v>
      </c>
      <c r="AP31" s="1283">
        <f>IF(ISNUMBER(((Datos!L31/Datos!K31)*11)/factor_trimestre),((Datos!L31/Datos!K31)*11)/factor_trimestre," - ")</f>
        <v>10.330877985030295</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-0.86904761904761907</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7.4046483909415969E-2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33.6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2.2047927592204921</v>
      </c>
      <c r="F33" s="1009">
        <f>IF(ISNUMBER(STDEV(F8:F30)),STDEV(F8:F30),"-")</f>
        <v>46.008694830433953</v>
      </c>
      <c r="G33" s="1010">
        <f>IF(ISNUMBER(STDEV(G8:G30)),STDEV(G8:G30),"-")</f>
        <v>46.008694830433953</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39.98374669787713</v>
      </c>
      <c r="AC33" s="1011">
        <f>IF(ISNUMBER(STDEV(AC8:AC30)),STDEV(AC8:AC30),"-")</f>
        <v>0</v>
      </c>
      <c r="AD33" s="1014"/>
      <c r="AE33" s="1014"/>
      <c r="AF33" s="1014"/>
      <c r="AG33" s="1014"/>
      <c r="AH33" s="1014"/>
      <c r="AI33" s="1014"/>
      <c r="AJ33" s="1015">
        <f>IF(ISNUMBER(STDEV(AJ8:AJ30)),STDEV(AJ8:AJ30),"-")</f>
        <v>0</v>
      </c>
      <c r="AK33" s="1017"/>
      <c r="AL33" s="1009">
        <f>IF(ISNUMBER(STDEV(AL8:AL30)),STDEV(AL8:AL30),"-")</f>
        <v>411.95339542234632</v>
      </c>
      <c r="AM33" s="1009"/>
      <c r="AN33" s="1009">
        <f>IF(ISNUMBER(STDEV(AN8:AN30)),STDEV(AN8:AN30),"-")</f>
        <v>0</v>
      </c>
      <c r="AO33" s="1015">
        <f>IF(ISNUMBER(STDEV(AO8:AO30)),STDEV(AO8:AO30),"-")</f>
        <v>0</v>
      </c>
      <c r="AP33" s="1068">
        <f>IF(ISNUMBER(STDEV(AP8:AP30)),STDEV(AP8:AP30),"-")</f>
        <v>1.6693910309450846</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NFIb9LNwHHVpSpYC4nepWHbkO6qBOl001rMzT+3Lz6SrVbGqc4uWMo8XcJ7re+BbG/MBQrjqNMhYDauFtp8h1A==" saltValue="cUR10T50GPBH7bwXRntk9w=="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283</v>
      </c>
      <c r="B3" s="440" t="str">
        <f>Criterios!A10 &amp;"  "&amp;Criterios!B10</f>
        <v>Provincias  BARCELONA</v>
      </c>
      <c r="C3" s="464"/>
      <c r="F3" s="437"/>
      <c r="G3" s="437"/>
      <c r="H3" s="437"/>
    </row>
    <row r="4" spans="1:15" ht="13.5" thickBot="1">
      <c r="A4" s="437"/>
      <c r="B4" s="440" t="str">
        <f>Criterios!A11 &amp;"  "&amp;Criterios!B11</f>
        <v>Resumenes por Partidos Judiciales  VILAFRANCA DEL PENEDES</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5</v>
      </c>
      <c r="D12" s="452">
        <f>Datos!BK12</f>
        <v>0</v>
      </c>
      <c r="E12" s="452">
        <f>Datos!AQ12</f>
        <v>5</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5</v>
      </c>
      <c r="D17" s="452">
        <f>Datos!BK17</f>
        <v>0</v>
      </c>
      <c r="E17" s="452">
        <f>Datos!AQ17</f>
        <v>5</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xofiiMCaN+j8J3H5YhwHLWtxLUvrId3G2ZNWsNiyCS0FuUOkwBsxdHKJe2YHtAv9LT956TQa4Z9yb6/HgTst/A==" saltValue="t7PI3weBDaJUwl4Kl6o8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VILAFRANCA DEL PENEDES</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29</v>
      </c>
      <c r="E10" s="453">
        <f>IF(ISNUMBER(D10/B10),D10/B10," - ")</f>
        <v>29</v>
      </c>
      <c r="F10" s="452">
        <f>IF(ISNUMBER(Datos!N10),Datos!N10," - ")</f>
        <v>28</v>
      </c>
      <c r="G10" s="453">
        <f>IF(ISNUMBER(F10/B10),F10/B10," - ")</f>
        <v>28</v>
      </c>
      <c r="H10" s="452">
        <f>IF(ISNUMBER(Datos!O10),Datos!O10," - ")</f>
        <v>12</v>
      </c>
      <c r="I10" s="453">
        <f t="shared" ref="I10:I13" si="2">IF(ISNUMBER(H10/B10),H10/B10," - ")</f>
        <v>12</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5</v>
      </c>
      <c r="C12" s="459">
        <f>Datos!AQ12</f>
        <v>5</v>
      </c>
      <c r="D12" s="452">
        <f>IF(ISNUMBER(Datos!M12),Datos!M12," - ")</f>
        <v>790</v>
      </c>
      <c r="E12" s="453">
        <f t="shared" si="0"/>
        <v>158</v>
      </c>
      <c r="F12" s="452">
        <f>IF(ISNUMBER(Datos!N12),Datos!N12," - ")</f>
        <v>1613</v>
      </c>
      <c r="G12" s="453">
        <f t="shared" si="1"/>
        <v>322.60000000000002</v>
      </c>
      <c r="H12" s="452">
        <f>IF(ISNUMBER(Datos!O12),Datos!O12," - ")</f>
        <v>1698</v>
      </c>
      <c r="I12" s="453">
        <f t="shared" si="2"/>
        <v>339.6</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6</v>
      </c>
      <c r="C14" s="1151">
        <f>Datos!AR14</f>
        <v>5</v>
      </c>
      <c r="D14" s="1149">
        <f>SUBTOTAL(9,D9:D13)</f>
        <v>819</v>
      </c>
      <c r="E14" s="1150">
        <f t="shared" si="0"/>
        <v>136.5</v>
      </c>
      <c r="F14" s="1149">
        <f>SUBTOTAL(9,F9:F13)</f>
        <v>1641</v>
      </c>
      <c r="G14" s="1150">
        <f t="shared" si="1"/>
        <v>273.5</v>
      </c>
      <c r="H14" s="1149">
        <f>SUBTOTAL(9,H9:H13)</f>
        <v>1710</v>
      </c>
      <c r="I14" s="1150">
        <f>IF(ISNUMBER(H14/B14),H14/B14," - ")</f>
        <v>285</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5</v>
      </c>
      <c r="C17" s="482">
        <f>Datos!AQ17</f>
        <v>5</v>
      </c>
      <c r="D17" s="452">
        <f>IF(ISNUMBER(Datos!M17),Datos!M17," - ")</f>
        <v>514</v>
      </c>
      <c r="E17" s="453">
        <f t="shared" si="3"/>
        <v>102.8</v>
      </c>
      <c r="F17" s="452">
        <f>IF(ISNUMBER(Datos!N17),Datos!N17," - ")</f>
        <v>2347</v>
      </c>
      <c r="G17" s="453">
        <f t="shared" si="4"/>
        <v>469.4</v>
      </c>
      <c r="H17" s="452">
        <f>IF(ISNUMBER(Datos!O17),Datos!O17," - ")</f>
        <v>11</v>
      </c>
      <c r="I17" s="453">
        <f t="shared" si="5"/>
        <v>2.2000000000000002</v>
      </c>
    </row>
    <row r="18" spans="1:9">
      <c r="A18" s="451" t="str">
        <f>Datos!A18</f>
        <v>Jdos. Violencia contra la mujer</v>
      </c>
      <c r="B18" s="481">
        <f>Datos!AO18</f>
        <v>1</v>
      </c>
      <c r="C18" s="482">
        <f>Datos!AQ18</f>
        <v>0</v>
      </c>
      <c r="D18" s="452">
        <f>IF(ISNUMBER(Datos!M18),Datos!M18," - ")</f>
        <v>29</v>
      </c>
      <c r="E18" s="453">
        <f>IF(ISNUMBER(D18/B18),D18/B18," - ")</f>
        <v>29</v>
      </c>
      <c r="F18" s="452">
        <f>IF(ISNUMBER(Datos!N18),Datos!N18," - ")</f>
        <v>152</v>
      </c>
      <c r="G18" s="453">
        <f>IF(ISNUMBER(F18/B18),F18/B18," - ")</f>
        <v>152</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6</v>
      </c>
      <c r="C23" s="1151">
        <f>Datos!AR23</f>
        <v>5</v>
      </c>
      <c r="D23" s="1149">
        <f>SUBTOTAL(9,D16:D22)</f>
        <v>543</v>
      </c>
      <c r="E23" s="1150">
        <f t="shared" si="3"/>
        <v>90.5</v>
      </c>
      <c r="F23" s="1149">
        <f>SUBTOTAL(9,F16:F22)</f>
        <v>2499</v>
      </c>
      <c r="G23" s="1150">
        <f t="shared" si="4"/>
        <v>416.5</v>
      </c>
      <c r="H23" s="1149">
        <f>SUBTOTAL(9,H16:H22)</f>
        <v>11</v>
      </c>
      <c r="I23" s="1150">
        <f>IF(ISNUMBER(H23/B23),H23/B23," - ")</f>
        <v>1.8333333333333333</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5</v>
      </c>
      <c r="C31" s="1087">
        <f>Datos!AR31</f>
        <v>5</v>
      </c>
      <c r="D31" s="1087">
        <f>SUBTOTAL(9,D8:D30)</f>
        <v>1362</v>
      </c>
      <c r="E31" s="1088">
        <f>IF(ISNUMBER(D31/B31),D31/B31," - ")</f>
        <v>272.39999999999998</v>
      </c>
      <c r="F31" s="1087">
        <f>SUBTOTAL(9,F8:F30)</f>
        <v>4140</v>
      </c>
      <c r="G31" s="1088">
        <f>IF(ISNUMBER(F31/B31),F31/B31," - ")</f>
        <v>828</v>
      </c>
      <c r="H31" s="1087">
        <f>SUBTOTAL(9,H8:H30)</f>
        <v>1721</v>
      </c>
      <c r="I31" s="1088">
        <f>IF(ISNUMBER(H31/B31),H31/B31," - ")</f>
        <v>344.2</v>
      </c>
    </row>
    <row r="34" spans="1:1">
      <c r="A34" s="440" t="str">
        <f>Criterios!A4</f>
        <v>Fecha Informe: 05 abr. 2022</v>
      </c>
    </row>
    <row r="39" spans="1:1">
      <c r="A39" s="463"/>
    </row>
  </sheetData>
  <sheetProtection algorithmName="SHA-512" hashValue="u0ysNgmeWCw/jFyLPK5+49at+OgcLGDKh86PnKpBTW4ZZjaCXvecEU75doZdC1Zo0JRZNAfRvlFT9E9eLbenUQ==" saltValue="YNOnxS4DCvZjv3hZooxY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48</v>
      </c>
      <c r="B3" s="440" t="str">
        <f>Criterios!A10 &amp;"  "&amp;Criterios!B10</f>
        <v>Provincias  BARCELONA</v>
      </c>
    </row>
    <row r="4" spans="1:4" ht="13.5" thickBot="1">
      <c r="B4" s="440" t="str">
        <f>Criterios!A11 &amp;"  "&amp;Criterios!B11</f>
        <v>Resumenes por Partidos Judiciales  VILAFRANCA DEL PENEDES</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7</v>
      </c>
      <c r="C10" s="490">
        <f>IF(ISNUMBER(Datos!Q10),Datos!Q10," - ")</f>
        <v>4</v>
      </c>
      <c r="D10" s="457">
        <f>IF(ISNUMBER(Datos!R10),Datos!R10," - ")</f>
        <v>77</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912</v>
      </c>
      <c r="C12" s="490">
        <f>IF(ISNUMBER(Datos!Q12),Datos!Q12," - ")</f>
        <v>474</v>
      </c>
      <c r="D12" s="457">
        <f>IF(ISNUMBER(Datos!R12),Datos!R12," - ")</f>
        <v>6944</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919</v>
      </c>
      <c r="C14" s="1153">
        <f>SUBTOTAL(9,C9:C13)</f>
        <v>478</v>
      </c>
      <c r="D14" s="1151">
        <f>SUBTOTAL(9,D9:D13)</f>
        <v>7021</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96</v>
      </c>
      <c r="C17" s="490">
        <f>IF(ISNUMBER(Datos!Q17),Datos!Q17," - ")</f>
        <v>38</v>
      </c>
      <c r="D17" s="457">
        <f>IF(ISNUMBER(Datos!R17),Datos!R17," - ")</f>
        <v>179</v>
      </c>
    </row>
    <row r="18" spans="1:4">
      <c r="A18" s="451" t="str">
        <f>Datos!A18</f>
        <v>Jdos. Violencia contra la mujer</v>
      </c>
      <c r="B18" s="489">
        <f>IF(ISNUMBER(Datos!P18),Datos!P18," - ")</f>
        <v>5</v>
      </c>
      <c r="C18" s="490">
        <f>IF(ISNUMBER(Datos!Q18),Datos!Q18," - ")</f>
        <v>7</v>
      </c>
      <c r="D18" s="457">
        <f>IF(ISNUMBER(Datos!R18),Datos!R18," - ")</f>
        <v>9</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101</v>
      </c>
      <c r="C23" s="1153">
        <f>SUBTOTAL(9,C16:C22)</f>
        <v>45</v>
      </c>
      <c r="D23" s="1151">
        <f>SUBTOTAL(9,D16:D22)</f>
        <v>188</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1020</v>
      </c>
      <c r="C31" s="1092">
        <f>SUBTOTAL(9,C8:C30)</f>
        <v>523</v>
      </c>
      <c r="D31" s="1093">
        <f>SUBTOTAL(9,D8:D30)</f>
        <v>7209</v>
      </c>
    </row>
    <row r="32" spans="1:4" ht="7.5" customHeight="1"/>
    <row r="33" spans="1:1" ht="6" customHeight="1"/>
    <row r="34" spans="1:1">
      <c r="A34" s="440" t="str">
        <f>Criterios!A4</f>
        <v>Fecha Informe: 05 abr. 2022</v>
      </c>
    </row>
    <row r="39" spans="1:1">
      <c r="A39" s="463"/>
    </row>
  </sheetData>
  <sheetProtection algorithmName="SHA-512" hashValue="9jXIH77cfUFHjzWo3Qnz84Vl0oUefOA2OZkiguxtZnYGKRgEmd4G4rgkGFiXZ2EPbXmARvxBYZD896e+ZtGWCg==" saltValue="3IqMCpzVa9CPOUHoQXvJ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165</v>
      </c>
      <c r="B3" s="440" t="str">
        <f>Criterios!A10 &amp;"  "&amp;Criterios!B10</f>
        <v>Provincias  BARCELONA</v>
      </c>
    </row>
    <row r="4" spans="1:11" ht="10.5" customHeight="1" thickBot="1">
      <c r="B4" s="440" t="str">
        <f>Criterios!A11 &amp;"  "&amp;Criterios!B11</f>
        <v>Resumenes por Partidos Judiciales  VILAFRANCA DEL PENEDES</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-1.1764705882352941E-2</v>
      </c>
      <c r="C10" s="516">
        <f>IF(ISNUMBER((Datos!J10-Datos!T10)/Datos!T10),(Datos!J10-Datos!T10)/Datos!T10," - ")</f>
        <v>0.27419354838709675</v>
      </c>
      <c r="D10" s="516">
        <f>IF(ISNUMBER((Datos!K10-Datos!U10)/Datos!U10),(Datos!K10-Datos!U10)/Datos!U10," - ")</f>
        <v>0.58695652173913049</v>
      </c>
      <c r="E10" s="516">
        <f>IF(ISNUMBER((Datos!L10-Datos!V10)/Datos!V10),(Datos!L10-Datos!V10)/Datos!V10," - ")</f>
        <v>7.1428571428571425E-2</v>
      </c>
      <c r="F10" s="516">
        <f>IF(ISNUMBER((Datos!M10-Datos!W10)/Datos!W10),(Datos!M10-Datos!W10)/Datos!W10," - ")</f>
        <v>0.16</v>
      </c>
      <c r="G10" s="517">
        <f>IF(ISNUMBER((Datos!N10-Datos!X10)/Datos!X10),(Datos!N10-Datos!X10)/Datos!X10," - ")</f>
        <v>1.8</v>
      </c>
      <c r="H10" s="515">
        <f>IF(ISNUMBER(((NºAsuntos!G10/NºAsuntos!E10)-Datos!BD10)/Datos!BD10),((NºAsuntos!G10/NºAsuntos!E10)-Datos!BD10)/Datos!BD10," - ")</f>
        <v>0.24545954870665937</v>
      </c>
      <c r="I10" s="516">
        <f>IF(ISNUMBER(((NºAsuntos!I10/NºAsuntos!G10)-Datos!BE10)/Datos!BE10),((NºAsuntos!I10/NºAsuntos!G10)-Datos!BE10)/Datos!BE10," - ")</f>
        <v>-0.32485322896281793</v>
      </c>
      <c r="J10" s="522">
        <f>IF(ISNUMBER((('Resol  Asuntos'!D10/NºAsuntos!G10)-Datos!BF10)/Datos!BF10),(('Resol  Asuntos'!D10/NºAsuntos!G10)-Datos!BF10)/Datos!BF10," - ")</f>
        <v>-0.26904109589041098</v>
      </c>
      <c r="K10" s="523">
        <f>IF(ISNUMBER((((NºAsuntos!C10+NºAsuntos!E10)/NºAsuntos!G10)-Datos!BG10)/Datos!BG10),(((NºAsuntos!C10+NºAsuntos!E10)/NºAsuntos!G10)-Datos!BG10)/Datos!BG10," - ")</f>
        <v>-0.30127667505358308</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0.2274498886414254</v>
      </c>
      <c r="C12" s="516">
        <f>IF(ISNUMBER(
   IF(J_V="SI",(Datos!J12-Datos!T12)/Datos!T12,(Datos!J12+Datos!Z12-(Datos!T12+Datos!AH12))/(Datos!T12+Datos!AH12))
     ),IF(J_V="SI",(Datos!J12-Datos!T12)/Datos!T12,(Datos!J12+Datos!Z12-(Datos!T12+Datos!AH12))/(Datos!T12+Datos!AH12))," - ")</f>
        <v>0.41962774957698817</v>
      </c>
      <c r="D12" s="516">
        <f>IF(ISNUMBER(
   IF(J_V="SI",(Datos!K12-Datos!U12)/Datos!U12,(Datos!K12+Datos!AA12-(Datos!U12+Datos!AI12))/(Datos!U12+Datos!AI12))
     ),IF(J_V="SI",(Datos!K12-Datos!U12)/Datos!U12,(Datos!K12+Datos!AA12-(Datos!U12+Datos!AI12))/(Datos!U12+Datos!AI12))," - ")</f>
        <v>1.0338983050847457</v>
      </c>
      <c r="E12" s="516">
        <f>IF(ISNUMBER(
   IF(J_V="SI",(Datos!L12-Datos!V12)/Datos!V12,(Datos!L12+Datos!AB12-(Datos!V12+Datos!AJ12))/(Datos!V12+Datos!AJ12))
     ),IF(J_V="SI",(Datos!L12-Datos!V12)/Datos!V12,(Datos!L12+Datos!AB12-(Datos!V12+Datos!AJ12))/(Datos!V12+Datos!AJ12))," - ")</f>
        <v>-3.9011113631208891E-2</v>
      </c>
      <c r="F12" s="516">
        <f>IF(ISNUMBER((Datos!M12-Datos!W12)/Datos!W12),(Datos!M12-Datos!W12)/Datos!W12," - ")</f>
        <v>0.44424131627056673</v>
      </c>
      <c r="G12" s="517">
        <f>IF(ISNUMBER((Datos!N12-Datos!X12)/Datos!X12),(Datos!N12-Datos!X12)/Datos!X12," - ")</f>
        <v>1.1593038821954484</v>
      </c>
      <c r="H12" s="515">
        <f>IF(ISNUMBER(((NºAsuntos!G12/NºAsuntos!E12)-Datos!BD12)/Datos!BD12),((NºAsuntos!G12/NºAsuntos!E12)-Datos!BD12)/Datos!BD12," - ")</f>
        <v>0.43269832932668034</v>
      </c>
      <c r="I12" s="516">
        <f>IF(ISNUMBER(((NºAsuntos!I12/NºAsuntos!G12)-Datos!BE12)/Datos!BE12),((NºAsuntos!I12/NºAsuntos!G12)-Datos!BE12)/Datos!BE12," - ")</f>
        <v>-0.52751379753534433</v>
      </c>
      <c r="J12" s="522">
        <f>IF(ISNUMBER((('Resol  Asuntos'!D12/NºAsuntos!G12)-Datos!BF12)/Datos!BF12),(('Resol  Asuntos'!D12/NºAsuntos!G12)-Datos!BF12)/Datos!BF12," - ")</f>
        <v>-0.48003123605533243</v>
      </c>
      <c r="K12" s="523">
        <f>IF(ISNUMBER((((NºAsuntos!C12+NºAsuntos!E12)/NºAsuntos!G12)-Datos!BG12)/Datos!BG12),(((NºAsuntos!C12+NºAsuntos!E12)/NºAsuntos!G12)-Datos!BG12)/Datos!BG12," - ")</f>
        <v>-0.35385672827249115</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0.22192004351373401</v>
      </c>
      <c r="C14" s="1155">
        <f>IF(ISNUMBER(
   IF(J_V="SI",(Datos!J14-Datos!T14)/Datos!T14,(Datos!J14+Datos!Z14-(Datos!T14+Datos!AH14))/(Datos!T14+Datos!AH14))
     ),IF(J_V="SI",(Datos!J14-Datos!T14)/Datos!T14,(Datos!J14+Datos!Z14-(Datos!T14+Datos!AH14))/(Datos!T14+Datos!AH14))," - ")</f>
        <v>0.41663904540934704</v>
      </c>
      <c r="D14" s="1155">
        <f>IF(ISNUMBER(
   IF(J_V="SI",(Datos!K14-Datos!U14)/Datos!U14,(Datos!K14+Datos!AA14-(Datos!U14+Datos!AI14))/(Datos!U14+Datos!AI14))
     ),IF(J_V="SI",(Datos!K14-Datos!U14)/Datos!U14,(Datos!K14+Datos!AA14-(Datos!U14+Datos!AI14))/(Datos!U14+Datos!AI14))," - ")</f>
        <v>1.0244239631336405</v>
      </c>
      <c r="E14" s="1155">
        <f>IF(ISNUMBER(
   IF(J_V="SI",(Datos!L14-Datos!V14)/Datos!V14,(Datos!L14+Datos!AB14-(Datos!V14+Datos!AJ14))/(Datos!V14+Datos!AJ14))
     ),IF(J_V="SI",(Datos!L14-Datos!V14)/Datos!V14,(Datos!L14+Datos!AB14-(Datos!V14+Datos!AJ14))/(Datos!V14+Datos!AJ14))," - ")</f>
        <v>-3.694636100600935E-2</v>
      </c>
      <c r="F14" s="1156">
        <f>IF(ISNUMBER((Datos!M14-Datos!W14)/Datos!W14),(Datos!M14-Datos!W14)/Datos!W14," - ")</f>
        <v>0.43181818181818182</v>
      </c>
      <c r="G14" s="1157">
        <f>IF(ISNUMBER((Datos!N14-Datos!X14)/Datos!X14),(Datos!N14-Datos!X14)/Datos!X14," - ")</f>
        <v>1.1677675033025099</v>
      </c>
      <c r="H14" s="1157">
        <f>IF(ISNUMBER(((NºAsuntos!G14/NºAsuntos!E14)-Datos!BD14)/Datos!BD14),((NºAsuntos!G14/NºAsuntos!E14)-Datos!BD14)/Datos!BD14," - ")</f>
        <v>0.42903301281567457</v>
      </c>
      <c r="I14" s="1157">
        <f>IF(ISNUMBER(((NºAsuntos!I14/NºAsuntos!G14)-Datos!BE14)/Datos!BE14),((NºAsuntos!I14/NºAsuntos!G14)-Datos!BE14)/Datos!BE14," - ")</f>
        <v>-0.52428263222923754</v>
      </c>
      <c r="J14" s="1157">
        <f>IF(ISNUMBER((('Resol  Asuntos'!D14/NºAsuntos!G14)-Datos!BF14)/Datos!BF14),(('Resol  Asuntos'!D14/NºAsuntos!G14)-Datos!BF14)/Datos!BF14," - ")</f>
        <v>-0.475959162539556</v>
      </c>
      <c r="K14" s="1157">
        <f>IF(ISNUMBER((((NºAsuntos!C14+NºAsuntos!E14)/NºAsuntos!G14)-Datos!BG14)/Datos!BG14),(((NºAsuntos!C14+NºAsuntos!E14)/NºAsuntos!G14)-Datos!BG14)/Datos!BG14," - ")</f>
        <v>-0.35306026080685848</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0.41337025316455694</v>
      </c>
      <c r="C17" s="516">
        <f>IF(ISNUMBER(
   IF(D_I="SI",(Datos!J17-Datos!T17)/Datos!T17,(Datos!J17+Datos!AD17-(Datos!T17+Datos!AL17))/(Datos!T17+Datos!AL17))
     ),IF(D_I="SI",(Datos!J17-Datos!T17)/Datos!T17,(Datos!J17+Datos!AD17-(Datos!T17+Datos!AL17))/(Datos!T17+Datos!AL17))," - ")</f>
        <v>5.4838709677419356E-2</v>
      </c>
      <c r="D17" s="516">
        <f>IF(ISNUMBER(
   IF(D_I="SI",(Datos!K17-Datos!U17)/Datos!U17,(Datos!K17+Datos!AE17-(Datos!U17+Datos!AM17))/(Datos!U17+Datos!AM17))
     ),IF(D_I="SI",(Datos!K17-Datos!U17)/Datos!U17,(Datos!K17+Datos!AE17-(Datos!U17+Datos!AM17))/(Datos!U17+Datos!AM17))," - ")</f>
        <v>0.29398148148148145</v>
      </c>
      <c r="E17" s="516">
        <f>IF(ISNUMBER(
   IF(D_I="SI",(Datos!L17-Datos!V17)/Datos!V17,(Datos!L17+Datos!AF17-(Datos!V17+Datos!AN17))/(Datos!V17+Datos!AN17))
     ),IF(D_I="SI",(Datos!L17-Datos!V17)/Datos!V17,(Datos!L17+Datos!AF17-(Datos!V17+Datos!AN17))/(Datos!V17+Datos!AN17))," - ")</f>
        <v>-9.5438007276798215E-2</v>
      </c>
      <c r="F17" s="516">
        <f>IF(ISNUMBER((Datos!M17-Datos!W17)/Datos!W17),(Datos!M17-Datos!W17)/Datos!W17," - ")</f>
        <v>0.56707317073170727</v>
      </c>
      <c r="G17" s="517">
        <f>IF(ISNUMBER((Datos!N17-Datos!X17)/Datos!X17),(Datos!N17-Datos!X17)/Datos!X17," - ")</f>
        <v>0.24311440677966101</v>
      </c>
      <c r="H17" s="515">
        <f>IF(ISNUMBER(((NºAsuntos!G17/NºAsuntos!E17)-Datos!BD17)/Datos!BD17),((NºAsuntos!G17/NºAsuntos!E17)-Datos!BD17)/Datos!BD17," - ")</f>
        <v>0.22671027296409552</v>
      </c>
      <c r="I17" s="516">
        <f>IF(ISNUMBER(((NºAsuntos!I17/NºAsuntos!G17)-Datos!BE17)/Datos!BE17),((NºAsuntos!I17/NºAsuntos!G17)-Datos!BE17)/Datos!BE17," - ")</f>
        <v>-0.30094672476489598</v>
      </c>
      <c r="J17" s="522">
        <f>IF(ISNUMBER((('Resol  Asuntos'!D17/NºAsuntos!G17)-Datos!BF17)/Datos!BF17),(('Resol  Asuntos'!D17/NºAsuntos!G17)-Datos!BF17)/Datos!BF17," - ")</f>
        <v>0.21104760242593487</v>
      </c>
      <c r="K17" s="523">
        <f>IF(ISNUMBER((((NºAsuntos!C17+NºAsuntos!E17)/NºAsuntos!G17)-Datos!BG17)/Datos!BG17),(((NºAsuntos!C17+NºAsuntos!E17)/NºAsuntos!G17)-Datos!BG17)/Datos!BG17," - ")</f>
        <v>-7.8003296305813319E-2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1.0445859872611465</v>
      </c>
      <c r="C18" s="516">
        <f>IF(ISNUMBER(
   IF(D_I="SI",(Datos!J18-Datos!T18)/Datos!T18,(Datos!J18+Datos!AD18-(Datos!T18+Datos!AL18))/(Datos!T18+Datos!AL18))
     ),IF(D_I="SI",(Datos!J18-Datos!T18)/Datos!T18,(Datos!J18+Datos!AD18-(Datos!T18+Datos!AL18))/(Datos!T18+Datos!AL18))," - ")</f>
        <v>8.6746987951807228E-2</v>
      </c>
      <c r="D18" s="516">
        <f>IF(ISNUMBER(
   IF(D_I="SI",(Datos!K18-Datos!U18)/Datos!U18,(Datos!K18+Datos!AE18-(Datos!U18+Datos!AM18))/(Datos!U18+Datos!AM18))
     ),IF(D_I="SI",(Datos!K18-Datos!U18)/Datos!U18,(Datos!K18+Datos!AE18-(Datos!U18+Datos!AM18))/(Datos!U18+Datos!AM18))," - ")</f>
        <v>0.23643410852713179</v>
      </c>
      <c r="E18" s="516">
        <f>IF(ISNUMBER(
   IF(D_I="SI",(Datos!L18-Datos!V18)/Datos!V18,(Datos!L18+Datos!AF18-(Datos!V18+Datos!AN18))/(Datos!V18+Datos!AN18))
     ),IF(D_I="SI",(Datos!L18-Datos!V18)/Datos!V18,(Datos!L18+Datos!AF18-(Datos!V18+Datos!AN18))/(Datos!V18+Datos!AN18))," - ")</f>
        <v>0.4174454828660436</v>
      </c>
      <c r="F18" s="516">
        <f>IF(ISNUMBER((Datos!M18-Datos!W18)/Datos!W18),(Datos!M18-Datos!W18)/Datos!W18," - ")</f>
        <v>1.0714285714285714</v>
      </c>
      <c r="G18" s="517">
        <f>IF(ISNUMBER((Datos!N18-Datos!X18)/Datos!X18),(Datos!N18-Datos!X18)/Datos!X18," - ")</f>
        <v>0</v>
      </c>
      <c r="H18" s="515">
        <f>IF(ISNUMBER(((NºAsuntos!G18/NºAsuntos!E18)-Datos!BD18)/Datos!BD18),((NºAsuntos!G18/NºAsuntos!E18)-Datos!BD18)/Datos!BD18," - ")</f>
        <v>0.137738702968425</v>
      </c>
      <c r="I18" s="516">
        <f>IF(ISNUMBER(((NºAsuntos!I18/NºAsuntos!G18)-Datos!BE18)/Datos!BE18),((NºAsuntos!I18/NºAsuntos!G18)-Datos!BE18)/Datos!BE18," - ")</f>
        <v>0.14639791404212932</v>
      </c>
      <c r="J18" s="522">
        <f>IF(ISNUMBER((('Resol  Asuntos'!D18/NºAsuntos!G18)-Datos!BF18)/Datos!BF18),(('Resol  Asuntos'!D18/NºAsuntos!G18)-Datos!BF18)/Datos!BF18," - ")</f>
        <v>0.67532467532467544</v>
      </c>
      <c r="K18" s="523">
        <f>IF(ISNUMBER((((NºAsuntos!C18+NºAsuntos!E18)/NºAsuntos!G18)-Datos!BG18)/Datos!BG18),(((NºAsuntos!C18+NºAsuntos!E18)/NºAsuntos!G18)-Datos!BG18)/Datos!BG18," - ")</f>
        <v>9.1566740469561897E-2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0.45027932960893857</v>
      </c>
      <c r="C23" s="1155">
        <f>IF(ISNUMBER(
   IF(Criterios!B14="SI",(Datos!J23-Datos!T23)/Datos!T23,(Datos!J23+Datos!AD23-(Datos!T23+Datos!AL23))/(Datos!T23+Datos!AL23))
     ),IF(Criterios!B14="SI",(Datos!J23-Datos!T23)/Datos!T23,(Datos!J23+Datos!AD23-(Datos!T23+Datos!AL23))/(Datos!T23+Datos!AL23))," - ")</f>
        <v>5.78177727784027E-2</v>
      </c>
      <c r="D23" s="1155">
        <f>IF(ISNUMBER(
   IF(Criterios!B14="SI",(Datos!K23-Datos!U23)/Datos!U23,(Datos!K23+Datos!AE23-(Datos!U23+Datos!AM23))/(Datos!U23+Datos!AM23))
     ),IF(Criterios!B14="SI",(Datos!K23-Datos!U23)/Datos!U23,(Datos!K23+Datos!AE23-(Datos!U23+Datos!AM23))/(Datos!U23+Datos!AM23))," - ")</f>
        <v>0.28945764777574651</v>
      </c>
      <c r="E23" s="1155">
        <f>IF(ISNUMBER(
   IF(Criterios!B14="SI",(Datos!L23-Datos!V23)/Datos!V23,(Datos!L23+Datos!AF23-(Datos!V23+Datos!AN23))/(Datos!V23+Datos!AN23))
     ),IF(Criterios!B14="SI",(Datos!L23-Datos!V23)/Datos!V23,(Datos!L23+Datos!AF23-(Datos!V23+Datos!AN23))/(Datos!V23+Datos!AN23))," - ")</f>
        <v>-5.3158705701078585E-2</v>
      </c>
      <c r="F23" s="1156">
        <f>IF(ISNUMBER((Datos!M23-Datos!W23)/Datos!W23),(Datos!M23-Datos!W23)/Datos!W23," - ")</f>
        <v>0.58771929824561409</v>
      </c>
      <c r="G23" s="1157">
        <f>IF(ISNUMBER((Datos!N23-Datos!X23)/Datos!X23),(Datos!N23-Datos!X23)/Datos!X23," - ")</f>
        <v>0.22500000000000001</v>
      </c>
      <c r="H23" s="1157">
        <f>IF(ISNUMBER(((NºAsuntos!G23/NºAsuntos!E23)-Datos!BD23)/Datos!BD23),((NºAsuntos!G23/NºAsuntos!E23)-Datos!BD23)/Datos!BD23," - ")</f>
        <v>0.21897899709978585</v>
      </c>
      <c r="I23" s="1157">
        <f>IF(ISNUMBER(((NºAsuntos!I23/NºAsuntos!G23)-Datos!BE23)/Datos!BE23),((NºAsuntos!I23/NºAsuntos!G23)-Datos!BE23)/Datos!BE23," - ")</f>
        <v>-0.26570578263491024</v>
      </c>
      <c r="J23" s="1157">
        <f>IF(ISNUMBER((('Resol  Asuntos'!D23/NºAsuntos!G23)-Datos!BF23)/Datos!BF23),(('Resol  Asuntos'!D23/NºAsuntos!G23)-Datos!BF23)/Datos!BF23," - ")</f>
        <v>0.23130783006666009</v>
      </c>
      <c r="K23" s="1157">
        <f>IF(ISNUMBER((((NºAsuntos!C23+NºAsuntos!E23)/NºAsuntos!G23)-Datos!BG23)/Datos!BG23),(((NºAsuntos!C23+NºAsuntos!E23)/NºAsuntos!G23)-Datos!BG23)/Datos!BG23," - ")</f>
        <v>-6.5025438984879752E-2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0.31829613329141782</v>
      </c>
      <c r="C31" s="1095">
        <f>IF(ISNUMBER(
   IF(J_V="SI",(Datos!J31-Datos!T31)/Datos!T31,(Datos!J31+Datos!Z31-(Datos!T31+Datos!AH31))/(Datos!T31+Datos!AH31))
     ),IF(J_V="SI",(Datos!J31-Datos!T31)/Datos!T31,(Datos!J31+Datos!Z31-(Datos!T31+Datos!AH31))/(Datos!T31+Datos!AH31))," - ")</f>
        <v>0.20289466630930045</v>
      </c>
      <c r="D31" s="1095">
        <f>IF(ISNUMBER(
   IF(J_V="SI",(Datos!K31-Datos!U31)/Datos!U31,(Datos!K31+Datos!AA31-(Datos!U31+Datos!AI31))/(Datos!U31+Datos!AI31))
     ),IF(J_V="SI",(Datos!K31-Datos!U31)/Datos!U31,(Datos!K31+Datos!AA31-(Datos!U31+Datos!AI31))/(Datos!U31+Datos!AI31))," - ")</f>
        <v>0.58198826118855462</v>
      </c>
      <c r="E31" s="1095">
        <f>IF(ISNUMBER(
   IF(J_V="SI",(Datos!L31-Datos!V31)/Datos!V31,(Datos!L31+Datos!AB31-(Datos!V31+Datos!AJ31))/(Datos!V31+Datos!AJ31))
     ),IF(J_V="SI",(Datos!L31-Datos!V31)/Datos!V31,(Datos!L31+Datos!AB31-(Datos!V31+Datos!AJ31))/(Datos!V31+Datos!AJ31))," - ")</f>
        <v>-4.4473590079885536E-2</v>
      </c>
      <c r="F31" s="1096">
        <f>IF(ISNUMBER((Datos!M31-Datos!W31)/Datos!W31),(Datos!M31-Datos!W31)/Datos!W31," - ")</f>
        <v>0.49015317286652077</v>
      </c>
      <c r="G31" s="1097">
        <f>IF(ISNUMBER((Datos!N31-Datos!X31)/Datos!X31),(Datos!N31-Datos!X31)/Datos!X31," - ")</f>
        <v>0.48015731140507689</v>
      </c>
      <c r="H31" s="1098">
        <f>IF(ISNUMBER((Tasas!B31-Datos!BD31)/Datos!BD31),(Tasas!B31-Datos!BD31)/Datos!BD31," - ")</f>
        <v>0.31515111463781142</v>
      </c>
      <c r="I31" s="1099">
        <f>IF(ISNUMBER((Tasas!C31-Datos!BE31)/Datos!BE31),(Tasas!C31-Datos!BE31)/Datos!BE31," - ")</f>
        <v>-0.3959965232597723</v>
      </c>
      <c r="J31" s="1100">
        <f>IF(ISNUMBER((Tasas!D31-Datos!BF31)/Datos!BF31),(Tasas!D31-Datos!BF31)/Datos!BF31," - ")</f>
        <v>-0.22716165795019902</v>
      </c>
      <c r="K31" s="1100">
        <f>IF(ISNUMBER((Tasas!E31-Datos!BG31)/Datos!BG31),(Tasas!E31-Datos!BG31)/Datos!BG31," - ")</f>
        <v>-0.2060598161567363</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ySbGI9mJJAPP9O2KJWg3+FVkWD739uBacab7SDxmml0bKoFUsvcNLFtPtDsrHI49c8McAiZTs7TlYBz5DVef9w==" saltValue="/NXYiPxxerCMQbQvmflD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VILAFRANCA DEL PENEDES</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0.92405063291139244</v>
      </c>
      <c r="C10" s="499">
        <f>IF(ISNUMBER(NºAsuntos!I10/NºAsuntos!G10),NºAsuntos!I10/NºAsuntos!G10," - ")</f>
        <v>1.2328767123287672</v>
      </c>
      <c r="D10" s="500">
        <f>IF(ISNUMBER('Resol  Asuntos'!D10/NºAsuntos!G10),'Resol  Asuntos'!D10/NºAsuntos!G10," - ")</f>
        <v>0.39726027397260272</v>
      </c>
      <c r="E10" s="501">
        <f>IF(ISNUMBER((NºAsuntos!C10+NºAsuntos!E10)/NºAsuntos!G10),(NºAsuntos!C10+NºAsuntos!E10)/NºAsuntos!G10," - ")</f>
        <v>2.2328767123287672</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1.029797377830751</v>
      </c>
      <c r="C12" s="499">
        <f>IF(ISNUMBER(NºAsuntos!I12/NºAsuntos!G12),NºAsuntos!I12/NºAsuntos!G12," - ")</f>
        <v>0.98078703703703707</v>
      </c>
      <c r="D12" s="500">
        <f>IF(ISNUMBER('Resol  Asuntos'!D12/NºAsuntos!G12),'Resol  Asuntos'!D12/NºAsuntos!G12," - ")</f>
        <v>0.18287037037037038</v>
      </c>
      <c r="E12" s="501">
        <f>IF(ISNUMBER((NºAsuntos!C12+NºAsuntos!E12)/NºAsuntos!G12),(NºAsuntos!C12+NºAsuntos!E12)/NºAsuntos!G12," - ")</f>
        <v>1.9916666666666667</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1.0278427702386523</v>
      </c>
      <c r="C14" s="1159">
        <f>IF(ISNUMBER(NºAsuntos!I14/NºAsuntos!G14),NºAsuntos!I14/NºAsuntos!G14," - ")</f>
        <v>0.98497609833826538</v>
      </c>
      <c r="D14" s="1160">
        <f>IF(ISNUMBER('Resol  Asuntos'!D14/NºAsuntos!G14),'Resol  Asuntos'!D14/NºAsuntos!G14," - ")</f>
        <v>0.18643296152970634</v>
      </c>
      <c r="E14" s="1161">
        <f>IF(ISNUMBER((NºAsuntos!C14+NºAsuntos!E14)/NºAsuntos!G14),(NºAsuntos!C14+NºAsuntos!E14)/NºAsuntos!G14," - ")</f>
        <v>1.9956749374004097</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0.92048929663608559</v>
      </c>
      <c r="C17" s="499">
        <f>IF(ISNUMBER(NºAsuntos!I17/NºAsuntos!G17),NºAsuntos!I17/NºAsuntos!G17," - ")</f>
        <v>0.8259647329414771</v>
      </c>
      <c r="D17" s="500">
        <f>IF(ISNUMBER('Resol  Asuntos'!D17/NºAsuntos!G17),'Resol  Asuntos'!D17/NºAsuntos!G17," - ")</f>
        <v>0.13135701507794531</v>
      </c>
      <c r="E17" s="501">
        <f>IF(ISNUMBER((NºAsuntos!C17+NºAsuntos!E17)/NºAsuntos!G17),(NºAsuntos!C17+NºAsuntos!E17)/NºAsuntos!G17," - ")</f>
        <v>1.9994888832098134</v>
      </c>
      <c r="G17" s="524"/>
    </row>
    <row r="18" spans="1:7">
      <c r="A18" s="451" t="str">
        <f>Datos!A18</f>
        <v>Jdos. Violencia contra la mujer</v>
      </c>
      <c r="B18" s="498">
        <f>IF(ISNUMBER(NºAsuntos!G18/NºAsuntos!E18),NºAsuntos!G18/NºAsuntos!E18," - ")</f>
        <v>0.70731707317073167</v>
      </c>
      <c r="C18" s="499">
        <f>IF(ISNUMBER(NºAsuntos!I18/NºAsuntos!G18),NºAsuntos!I18/NºAsuntos!G18," - ")</f>
        <v>1.4263322884012539</v>
      </c>
      <c r="D18" s="500">
        <f>IF(ISNUMBER('Resol  Asuntos'!D18/NºAsuntos!G18),'Resol  Asuntos'!D18/NºAsuntos!G18," - ")</f>
        <v>9.0909090909090912E-2</v>
      </c>
      <c r="E18" s="501">
        <f>IF(ISNUMBER((NºAsuntos!C18+NºAsuntos!E18)/NºAsuntos!G18),(NºAsuntos!C18+NºAsuntos!E18)/NºAsuntos!G18," - ")</f>
        <v>2.4200626959247651</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0.90004253509145049</v>
      </c>
      <c r="C23" s="1159">
        <f>IF(ISNUMBER(NºAsuntos!I23/NºAsuntos!G23),NºAsuntos!I23/NºAsuntos!G23," - ")</f>
        <v>0.87121928166351603</v>
      </c>
      <c r="D23" s="1162">
        <f>IF(ISNUMBER('Resol  Asuntos'!D23/NºAsuntos!G23),'Resol  Asuntos'!D23/NºAsuntos!G23," - ")</f>
        <v>0.12830812854442344</v>
      </c>
      <c r="E23" s="1161">
        <f>IF(ISNUMBER((NºAsuntos!C23+NºAsuntos!E23)/NºAsuntos!G23),(NºAsuntos!C23+NºAsuntos!E23)/NºAsuntos!G23," - ")</f>
        <v>2.0311909262759924</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0.96089572192513373</v>
      </c>
      <c r="C31" s="1102">
        <f>IF(ISNUMBER(NºAsuntos!I31/NºAsuntos!G31),NºAsuntos!I31/NºAsuntos!G31," - ")</f>
        <v>0.9291594202898551</v>
      </c>
      <c r="D31" s="1103">
        <f>IF(ISNUMBER('Resol  Asuntos'!D31/NºAsuntos!G31),'Resol  Asuntos'!D31/NºAsuntos!G31," - ")</f>
        <v>0.15791304347826088</v>
      </c>
      <c r="E31" s="1104">
        <f>IF(ISNUMBER((NºAsuntos!C31+NºAsuntos!E31)/NºAsuntos!G31),(NºAsuntos!C31+NºAsuntos!E31)/NºAsuntos!G31," - ")</f>
        <v>2.0131014492753625</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D3TQG8pFFpfarFdQp0htPZpE1iLNQRbMhY/3USQMqtCdSkH5DJEgE11Sx8gtr2rawyh/4uwzyTR2Hd0IL+52wg==" saltValue="arWTwg2FRpFbI3rBdQkJ5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VILAFRANCA DEL PENEDES</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0</v>
      </c>
      <c r="F10" s="239">
        <f>IF(ISNUMBER(Datos!L10+Datos!K10-Datos!J10-K10),Datos!L10+Datos!K10-Datos!J10-K10," - ")</f>
        <v>84</v>
      </c>
      <c r="G10" s="373">
        <f>IF(ISNUMBER(Datos!I10),Datos!I10," - ")</f>
        <v>84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73</v>
      </c>
      <c r="X10" s="240">
        <f>IF(ISNUMBER(Datos!Q10),Datos!Q10," - ")</f>
        <v>4</v>
      </c>
      <c r="Y10" s="374">
        <f t="shared" ref="Y10:Y13" si="0">SUM(W10:X10)</f>
        <v>77</v>
      </c>
      <c r="Z10" s="375" t="str">
        <f>IF(ISNUMBER(Datos!CC10),Datos!CC10," - ")</f>
        <v xml:space="preserve"> - </v>
      </c>
      <c r="AA10" s="372">
        <f>IF(ISNUMBER(Datos!L10),Datos!L10,"-")</f>
        <v>90</v>
      </c>
      <c r="AB10" s="374">
        <f>IF(ISNUMBER(Datos!R10),Datos!R10," - ")</f>
        <v>77</v>
      </c>
      <c r="AC10" s="374">
        <f t="shared" ref="AC10:AC13" si="1">IF(ISNUMBER(AA10+AB10),AA10+AB10," - ")</f>
        <v>167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29</v>
      </c>
      <c r="AJ10" s="245" t="str">
        <f>IF(ISNUMBER(Datos!BW10),Datos!BW10," - ")</f>
        <v xml:space="preserve"> - </v>
      </c>
      <c r="AK10" s="246" t="str">
        <f>IF(ISNUMBER(Datos!BX10),Datos!BX10," - ")</f>
        <v xml:space="preserve"> - </v>
      </c>
      <c r="AL10" s="266">
        <f>IF(ISNUMBER(NºAsuntos!G10/NºAsuntos!E10),NºAsuntos!G10/NºAsuntos!E10," - ")</f>
        <v>0.92405063291139244</v>
      </c>
      <c r="AM10" s="284">
        <f>IF(ISNUMBER(((NºAsuntos!I10/NºAsuntos!G10)*11)/factor_trimestre),((NºAsuntos!I10/NºAsuntos!G10)*11)/factor_trimestre," - ")</f>
        <v>13.561643835616438</v>
      </c>
      <c r="AN10" s="267">
        <f>IF(ISNUMBER('Resol  Asuntos'!D10/NºAsuntos!G10),'Resol  Asuntos'!D10/NºAsuntos!G10," - ")</f>
        <v>0.39726027397260272</v>
      </c>
      <c r="AO10" s="268">
        <f>IF(ISNUMBER((NºAsuntos!C10+NºAsuntos!E10)/NºAsuntos!G10),(NºAsuntos!C10+NºAsuntos!E10)/NºAsuntos!G10," - ")</f>
        <v>2.2328767123287672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5</v>
      </c>
      <c r="B12" s="300" t="s">
        <v>324</v>
      </c>
      <c r="C12" s="7" t="str">
        <f>Datos!A12</f>
        <v xml:space="preserve">Jdos. 1ª Instª. e Instr.                        </v>
      </c>
      <c r="D12" s="7"/>
      <c r="E12" s="290">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912</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474</v>
      </c>
      <c r="Y12" s="374">
        <f t="shared" si="0"/>
        <v>474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6944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790</v>
      </c>
      <c r="AJ12" s="243" t="str">
        <f>IF(ISNUMBER(Datos!BW12),Datos!BW12," - ")</f>
        <v xml:space="preserve"> - </v>
      </c>
      <c r="AK12" s="242" t="str">
        <f>IF(ISNUMBER(Datos!BX12),Datos!BX12," - ")</f>
        <v xml:space="preserve"> - </v>
      </c>
      <c r="AL12" s="266">
        <f>IF(ISNUMBER(NºAsuntos!G12/NºAsuntos!E12),NºAsuntos!G12/NºAsuntos!E12," - ")</f>
        <v>1.029797377830751</v>
      </c>
      <c r="AM12" s="284">
        <f>IF(ISNUMBER(((NºAsuntos!I12/NºAsuntos!G12)*11)/factor_trimestre),((NºAsuntos!I12/NºAsuntos!G12)*11)/factor_trimestre," - ")</f>
        <v>10.788657407407408</v>
      </c>
      <c r="AN12" s="267">
        <f>IF(ISNUMBER('Resol  Asuntos'!D12/NºAsuntos!G12),'Resol  Asuntos'!D12/NºAsuntos!G12," - ")</f>
        <v>0.18287037037037038</v>
      </c>
      <c r="AO12" s="268">
        <f>IF(ISNUMBER((NºAsuntos!C12+NºAsuntos!E12)/NºAsuntos!G12),(NºAsuntos!C12+NºAsuntos!E12)/NºAsuntos!G12," - ")</f>
        <v>1.9916666666666667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5</v>
      </c>
      <c r="F14" s="1165">
        <f t="shared" si="5"/>
        <v>84</v>
      </c>
      <c r="G14" s="1166">
        <f t="shared" si="5"/>
        <v>84</v>
      </c>
      <c r="H14" s="1165">
        <f t="shared" si="5"/>
        <v>0</v>
      </c>
      <c r="I14" s="1167">
        <f t="shared" si="5"/>
        <v>0</v>
      </c>
      <c r="J14" s="1167">
        <f t="shared" si="5"/>
        <v>0</v>
      </c>
      <c r="K14" s="1167">
        <f t="shared" si="5"/>
        <v>0</v>
      </c>
      <c r="L14" s="1167">
        <f t="shared" si="5"/>
        <v>919</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73</v>
      </c>
      <c r="X14" s="1167">
        <f t="shared" si="6"/>
        <v>478</v>
      </c>
      <c r="Y14" s="1168">
        <f t="shared" si="6"/>
        <v>551</v>
      </c>
      <c r="Z14" s="1168">
        <f t="shared" si="6"/>
        <v>0</v>
      </c>
      <c r="AA14" s="1168">
        <f t="shared" si="6"/>
        <v>90</v>
      </c>
      <c r="AB14" s="1168">
        <f t="shared" si="6"/>
        <v>7021</v>
      </c>
      <c r="AC14" s="1168">
        <f t="shared" si="6"/>
        <v>167</v>
      </c>
      <c r="AD14" s="1168">
        <f t="shared" si="6"/>
        <v>0</v>
      </c>
      <c r="AE14" s="1172">
        <f t="shared" si="6"/>
        <v>0</v>
      </c>
      <c r="AF14" s="1165">
        <f t="shared" si="6"/>
        <v>0</v>
      </c>
      <c r="AG14" s="1173">
        <f t="shared" si="6"/>
        <v>0</v>
      </c>
      <c r="AH14" s="1170">
        <f t="shared" si="6"/>
        <v>0</v>
      </c>
      <c r="AI14" s="1165">
        <f t="shared" si="6"/>
        <v>819</v>
      </c>
      <c r="AJ14" s="1167">
        <f t="shared" si="6"/>
        <v>0</v>
      </c>
      <c r="AK14" s="1170">
        <f>SUBTOTAL(9,AK9:AK13)</f>
        <v>0</v>
      </c>
      <c r="AL14" s="1174">
        <f>IF(ISNUMBER(NºAsuntos!G14/NºAsuntos!E14),NºAsuntos!G14/NºAsuntos!E14," - ")</f>
        <v>1.0278427702386523</v>
      </c>
      <c r="AM14" s="1174">
        <f>IF(ISNUMBER(((NºAsuntos!I14/NºAsuntos!G14)*11)/factor_trimestre),((NºAsuntos!I14/NºAsuntos!G14)*11)/factor_trimestre," - ")</f>
        <v>10.834737081720919</v>
      </c>
      <c r="AN14" s="1175">
        <f>IF(ISNUMBER('Resol  Asuntos'!D14/NºAsuntos!G14),'Resol  Asuntos'!D14/NºAsuntos!G14," - ")</f>
        <v>0.18643296152970634</v>
      </c>
      <c r="AO14" s="1176">
        <f>IF(ISNUMBER((NºAsuntos!C14+NºAsuntos!E14)/NºAsuntos!G14),(NºAsuntos!C14+NºAsuntos!E14)/NºAsuntos!G14," - ")</f>
        <v>1.9956749374004097</v>
      </c>
      <c r="AP14" s="1177" t="str">
        <f t="shared" si="2"/>
        <v xml:space="preserve"> - </v>
      </c>
      <c r="AQ14" s="1177">
        <f>IF(ISNUMBER((H14-W14+K14)/(F14)),(H14-W14+K14)/(F14)," - ")</f>
        <v>-0.86904761904761907</v>
      </c>
      <c r="AR14" s="1178">
        <f>IF(ISNUMBER((Datos!P14-Datos!Q14)/(Datos!R14-Datos!P14+Datos!Q14)),(Datos!P14-Datos!Q14)/(Datos!R14-Datos!P14+Datos!Q14)," - ")</f>
        <v>6.702127659574468E-2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515</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5</v>
      </c>
      <c r="B17" s="300" t="s">
        <v>515</v>
      </c>
      <c r="C17" s="173" t="str">
        <f>Datos!A17</f>
        <v xml:space="preserve">Jdos. 1ª Instª. e Instr.                        </v>
      </c>
      <c r="D17" s="173"/>
      <c r="E17" s="290">
        <f>IF(ISNUMBER(Datos!AQ17),Datos!AQ17," - ")</f>
        <v>5</v>
      </c>
      <c r="F17" s="239">
        <f>IF(ISNUMBER(AA17+W17-Datos!J17-K17),AA17+W17-Datos!J17-K17," - ")</f>
        <v>2894</v>
      </c>
      <c r="G17" s="373">
        <f>IF(ISNUMBER(IF(D_I="SI",Datos!I17,Datos!I17+Datos!AC17)),IF(D_I="SI",Datos!I17,Datos!I17+Datos!AC17)," - ")</f>
        <v>3573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96</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3913</v>
      </c>
      <c r="X17" s="240">
        <f>IF(ISNUMBER(Datos!Q17),Datos!Q17," - ")</f>
        <v>38</v>
      </c>
      <c r="Y17" s="374">
        <f t="shared" ref="Y17:Y22" si="9">SUM(W17:X17)</f>
        <v>3951</v>
      </c>
      <c r="Z17" s="375" t="str">
        <f>IF(ISNUMBER(Datos!CC17),Datos!CC17," - ")</f>
        <v xml:space="preserve"> - </v>
      </c>
      <c r="AA17" s="372">
        <f>IF(ISNUMBER(IF(D_I="SI",Datos!L17,Datos!L17+Datos!AF17)),IF(D_I="SI",Datos!L17,Datos!L17+Datos!AF17)," - ")</f>
        <v>3232</v>
      </c>
      <c r="AB17" s="374">
        <f>IF(ISNUMBER(Datos!R17),Datos!R17," - ")</f>
        <v>179</v>
      </c>
      <c r="AC17" s="374">
        <f t="shared" si="8"/>
        <v>3411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514</v>
      </c>
      <c r="AJ17" s="245" t="str">
        <f>IF(ISNUMBER(Datos!BW17),Datos!BW17," - ")</f>
        <v xml:space="preserve"> - </v>
      </c>
      <c r="AK17" s="246" t="str">
        <f>IF(ISNUMBER(Datos!BX17),Datos!BX17," - ")</f>
        <v xml:space="preserve"> - </v>
      </c>
      <c r="AL17" s="266">
        <f>IF(ISNUMBER(NºAsuntos!G17/NºAsuntos!E17),NºAsuntos!G17/NºAsuntos!E17," - ")</f>
        <v>0.92048929663608559</v>
      </c>
      <c r="AM17" s="284">
        <f>IF(ISNUMBER(((NºAsuntos!I17/NºAsuntos!G17)*11)/factor_trimestre),((NºAsuntos!I17/NºAsuntos!G17)*11)/factor_trimestre," - ")</f>
        <v>9.0856120623562475</v>
      </c>
      <c r="AN17" s="267">
        <f>IF(ISNUMBER('Resol  Asuntos'!D17/NºAsuntos!G17),'Resol  Asuntos'!D17/NºAsuntos!G17," - ")</f>
        <v>0.13135701507794531</v>
      </c>
      <c r="AO17" s="268">
        <f>IF(ISNUMBER((NºAsuntos!C17+NºAsuntos!E17)/NºAsuntos!G17),(NºAsuntos!C17+NºAsuntos!E17)/NºAsuntos!G17," - ")</f>
        <v>1.9994888832098134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321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319</v>
      </c>
      <c r="X18" s="240">
        <f>IF(ISNUMBER(Datos!Q18),Datos!Q18," - ")</f>
        <v>7</v>
      </c>
      <c r="Y18" s="374">
        <f t="shared" si="9"/>
        <v>326</v>
      </c>
      <c r="Z18" s="375" t="str">
        <f>IF(ISNUMBER(Datos!CC18),Datos!CC18," - ")</f>
        <v xml:space="preserve"> - </v>
      </c>
      <c r="AA18" s="372">
        <f>IF(ISNUMBER(Datos!L18),Datos!L18,"-")</f>
        <v>455</v>
      </c>
      <c r="AB18" s="374">
        <f>IF(ISNUMBER(Datos!R18),Datos!R18," - ")</f>
        <v>9</v>
      </c>
      <c r="AC18" s="374">
        <f t="shared" si="8"/>
        <v>464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0.70731707317073167</v>
      </c>
      <c r="AM18" s="284">
        <f>IF(ISNUMBER(((NºAsuntos!I18/NºAsuntos!G18)*11)/factor_trimestre),((NºAsuntos!I18/NºAsuntos!G18)*11)/factor_trimestre," - ")</f>
        <v>15.689655172413794</v>
      </c>
      <c r="AN18" s="267">
        <f>IF(ISNUMBER('Resol  Asuntos'!D18/NºAsuntos!G18),'Resol  Asuntos'!D18/NºAsuntos!G18," - ")</f>
        <v>9.0909090909090912E-2</v>
      </c>
      <c r="AO18" s="268">
        <f>IF(ISNUMBER((NºAsuntos!C18+NºAsuntos!E18)/NºAsuntos!G18),(NºAsuntos!C18+NºAsuntos!E18)/NºAsuntos!G18," - ")</f>
        <v>2.4200626959247651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5</v>
      </c>
      <c r="F23" s="1165">
        <f>SUBTOTAL(9,F15:F22)</f>
        <v>2894</v>
      </c>
      <c r="G23" s="1166">
        <f>SUBTOTAL(9,G16:G22)</f>
        <v>3894</v>
      </c>
      <c r="H23" s="1165">
        <f t="shared" ref="H23:O23" si="13">SUBTOTAL(9,H15:H22)</f>
        <v>0</v>
      </c>
      <c r="I23" s="1167">
        <f t="shared" si="13"/>
        <v>0</v>
      </c>
      <c r="J23" s="1167">
        <f t="shared" si="13"/>
        <v>0</v>
      </c>
      <c r="K23" s="1167">
        <f t="shared" si="13"/>
        <v>0</v>
      </c>
      <c r="L23" s="1167">
        <f t="shared" si="13"/>
        <v>101</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4232</v>
      </c>
      <c r="X23" s="1167">
        <f t="shared" si="14"/>
        <v>45</v>
      </c>
      <c r="Y23" s="1168">
        <f t="shared" si="14"/>
        <v>4277</v>
      </c>
      <c r="Z23" s="1168">
        <f t="shared" si="14"/>
        <v>0</v>
      </c>
      <c r="AA23" s="1168">
        <f t="shared" si="14"/>
        <v>3687</v>
      </c>
      <c r="AB23" s="1168">
        <f t="shared" si="14"/>
        <v>188</v>
      </c>
      <c r="AC23" s="1168">
        <f t="shared" si="14"/>
        <v>3875</v>
      </c>
      <c r="AD23" s="1168">
        <f t="shared" si="14"/>
        <v>0</v>
      </c>
      <c r="AE23" s="1172">
        <f t="shared" si="14"/>
        <v>0</v>
      </c>
      <c r="AF23" s="1165">
        <f t="shared" si="14"/>
        <v>0</v>
      </c>
      <c r="AG23" s="1173">
        <f t="shared" si="14"/>
        <v>0</v>
      </c>
      <c r="AH23" s="1170">
        <f t="shared" si="14"/>
        <v>0</v>
      </c>
      <c r="AI23" s="1165">
        <f t="shared" si="14"/>
        <v>543</v>
      </c>
      <c r="AJ23" s="1167">
        <f t="shared" si="14"/>
        <v>0</v>
      </c>
      <c r="AK23" s="1170">
        <f t="shared" si="14"/>
        <v>0</v>
      </c>
      <c r="AL23" s="1174">
        <f>IF(ISNUMBER(NºAsuntos!G23/NºAsuntos!E23),NºAsuntos!G23/NºAsuntos!E23," - ")</f>
        <v>0.90004253509145049</v>
      </c>
      <c r="AM23" s="1174">
        <f>IF(ISNUMBER(((NºAsuntos!I23/NºAsuntos!G23)*11)/factor_trimestre),((NºAsuntos!I23/NºAsuntos!G23)*11)/factor_trimestre," - ")</f>
        <v>9.5834120982986768</v>
      </c>
      <c r="AN23" s="1175">
        <f>IF(ISNUMBER('Resol  Asuntos'!D23/NºAsuntos!G23),'Resol  Asuntos'!D23/NºAsuntos!G23," - ")</f>
        <v>0.12830812854442344</v>
      </c>
      <c r="AO23" s="1176">
        <f>IF(ISNUMBER((NºAsuntos!C23+NºAsuntos!E23)/NºAsuntos!G23),(NºAsuntos!C23+NºAsuntos!E23)/NºAsuntos!G23," - ")</f>
        <v>2.0311909262759924</v>
      </c>
      <c r="AP23" s="1177" t="str">
        <f t="shared" si="2"/>
        <v xml:space="preserve"> - </v>
      </c>
      <c r="AQ23" s="1177">
        <f>IF(ISNUMBER((H23-W23+K23)/(F23)),(H23-W23+K23)/(F23)," - ")</f>
        <v>-1.4623358673116793</v>
      </c>
      <c r="AR23" s="1178">
        <f>IF(ISNUMBER((Datos!P23-Datos!Q23)/(Datos!R23-Datos!P23+Datos!Q23)),(Datos!P23-Datos!Q23)/(Datos!R23-Datos!P23+Datos!Q23)," - ")</f>
        <v>0.42424242424242425</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10</v>
      </c>
      <c r="F31" s="1120">
        <f t="shared" si="20"/>
        <v>2978</v>
      </c>
      <c r="G31" s="1121">
        <f t="shared" si="20"/>
        <v>3978</v>
      </c>
      <c r="H31" s="1120">
        <f t="shared" si="20"/>
        <v>0</v>
      </c>
      <c r="I31" s="1122">
        <f t="shared" si="20"/>
        <v>0</v>
      </c>
      <c r="J31" s="1122">
        <f t="shared" si="20"/>
        <v>0</v>
      </c>
      <c r="K31" s="1183">
        <f t="shared" si="20"/>
        <v>0</v>
      </c>
      <c r="L31" s="1122">
        <f t="shared" si="20"/>
        <v>1020</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4305</v>
      </c>
      <c r="X31" s="1121">
        <f t="shared" si="21"/>
        <v>523</v>
      </c>
      <c r="Y31" s="1128">
        <f t="shared" si="21"/>
        <v>4828</v>
      </c>
      <c r="Z31" s="1128">
        <f t="shared" si="21"/>
        <v>0</v>
      </c>
      <c r="AA31" s="1128">
        <f t="shared" si="21"/>
        <v>3777</v>
      </c>
      <c r="AB31" s="1128">
        <f t="shared" si="21"/>
        <v>7209</v>
      </c>
      <c r="AC31" s="1128">
        <f t="shared" si="21"/>
        <v>4042</v>
      </c>
      <c r="AD31" s="1128">
        <f t="shared" si="21"/>
        <v>0</v>
      </c>
      <c r="AE31" s="1130">
        <f t="shared" si="21"/>
        <v>0</v>
      </c>
      <c r="AF31" s="1131">
        <f t="shared" si="21"/>
        <v>0</v>
      </c>
      <c r="AG31" s="1132">
        <f t="shared" si="21"/>
        <v>0</v>
      </c>
      <c r="AH31" s="1130">
        <f t="shared" si="21"/>
        <v>0</v>
      </c>
      <c r="AI31" s="1120">
        <f t="shared" si="21"/>
        <v>1362</v>
      </c>
      <c r="AJ31" s="1120">
        <f t="shared" si="21"/>
        <v>0</v>
      </c>
      <c r="AK31" s="1130">
        <f t="shared" si="21"/>
        <v>0</v>
      </c>
      <c r="AL31" s="1186">
        <f>IF(ISNUMBER(NºAsuntos!G31/NºAsuntos!E31),NºAsuntos!G31/NºAsuntos!E31," - ")</f>
        <v>0.96089572192513373</v>
      </c>
      <c r="AM31" s="1187">
        <f>IF(ISNUMBER(((NºAsuntos!I31/NºAsuntos!G31)*11)/factor_trimestre),((NºAsuntos!I31/NºAsuntos!G31)*11)/factor_trimestre," - ")</f>
        <v>10.220753623188406</v>
      </c>
      <c r="AN31" s="1187">
        <f>IF(ISNUMBER('Resol  Asuntos'!D31/NºAsuntos!G31),'Resol  Asuntos'!D31/NºAsuntos!G31," - ")</f>
        <v>0.15791304347826088</v>
      </c>
      <c r="AO31" s="1188">
        <f>IF(ISNUMBER((NºAsuntos!C31+NºAsuntos!E31)/NºAsuntos!G31),(NºAsuntos!C31+NºAsuntos!E31)/NºAsuntos!G31," - ")</f>
        <v>2.0131014492753625</v>
      </c>
      <c r="AP31" s="1189" t="str">
        <f t="shared" si="2"/>
        <v xml:space="preserve"> - </v>
      </c>
      <c r="AQ31" s="1190">
        <f>IF(OR(ISNUMBER(FIND("01",Criterios!A8,1)),ISNUMBER(FIND("02",Criterios!A8,1)),ISNUMBER(FIND("03",Criterios!A8,1)),ISNUMBER(FIND("04",Criterios!A8,1))),(I31-W31+K31)/(F31-K31),(H31-W31+K31)/(F31-K31))</f>
        <v>-1.4456010745466756</v>
      </c>
      <c r="AR31" s="1191">
        <f>IF(ISNUMBER((Datos!P31-Datos!Q31)/(Datos!R31-Datos!P31+Datos!Q31)),(Datos!P31-Datos!Q31)/(Datos!R31-Datos!P31+Datos!Q31)," - ")</f>
        <v>7.4046483909415969E-2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1136.5714285714287</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2.0942695414584778</v>
      </c>
      <c r="F33" s="276">
        <f>IF(ISNUMBER(STDEV(F8:F30)),STDEV(F8:F30),"-")</f>
        <v>1473.2454875772287</v>
      </c>
      <c r="G33" s="277">
        <f>IF(ISNUMBER(STDEV(G8:G30)),STDEV(G8:G30),"-")</f>
        <v>1779.7076405169153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1946.9425603579921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364.1165433523409</v>
      </c>
      <c r="AJ33" s="276">
        <f t="shared" si="24"/>
        <v>0</v>
      </c>
      <c r="AK33" s="278">
        <f t="shared" si="24"/>
        <v>0</v>
      </c>
      <c r="AL33" s="273">
        <f t="shared" si="24"/>
        <v>0.11774231670708668</v>
      </c>
      <c r="AM33" s="274">
        <f t="shared" si="24"/>
        <v>2.537931268558189</v>
      </c>
      <c r="AN33" s="274">
        <f t="shared" si="24"/>
        <v>0.10954191749383178</v>
      </c>
      <c r="AO33" s="275">
        <f t="shared" si="24"/>
        <v>0.17703904276705534</v>
      </c>
      <c r="AP33" s="317" t="str">
        <f t="shared" si="24"/>
        <v>-</v>
      </c>
      <c r="AQ33" s="318">
        <f t="shared" si="24"/>
        <v>0.41951814354580474</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ueMSm9PiUgNAKFiQihym6V5eErHKfdi2dIS04dkmLYWleigL+mcbb+LuEutHLqMgCAjJ5qb/SKUKNF40vxcp8w==" saltValue="1bFmOSIr5HlXtfdOWzaiqg=="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VILAFRANCA DEL PENEDES</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324</v>
      </c>
      <c r="C10" s="7" t="str">
        <f>Datos!A10</f>
        <v>Jdos. Violencia contra la mujer</v>
      </c>
      <c r="D10" s="398">
        <f>IF(ISNUMBER((Datos!I10-Datos!S10)/Datos!S10),(Datos!I10-Datos!S10)/Datos!S10," - ")</f>
        <v>-1.1764705882352941E-2</v>
      </c>
      <c r="E10" s="394">
        <f>IF(ISNUMBER((Datos!J10-Datos!T10)/Datos!T10),(Datos!J10-Datos!T10)/Datos!T10," - ")</f>
        <v>0.27419354838709675</v>
      </c>
      <c r="F10" s="394">
        <f>IF(ISNUMBER((Datos!K10-Datos!U10)/Datos!U10),(Datos!K10-Datos!U10)/Datos!U10," - ")</f>
        <v>0.58695652173913049</v>
      </c>
      <c r="G10" s="395">
        <f>IF(ISNUMBER((Datos!L10-Datos!V10)/Datos!V10),(Datos!L10-Datos!V10)/Datos!V10," - ")</f>
        <v>7.1428571428571425E-2</v>
      </c>
      <c r="H10" s="244">
        <f>IF(ISNUMBER((Datos!M10-Datos!W10)/Datos!W10),(Datos!M10-Datos!W10)/Datos!W10," - ")</f>
        <v>0.16</v>
      </c>
      <c r="I10" s="396">
        <f>IF(ISNUMBER((Tasas!C10-Datos!BE10)/Datos!BE10),(Tasas!C10-Datos!BE10)/Datos!BE10," - ")</f>
        <v>-0.32485322896281793</v>
      </c>
      <c r="J10" s="395">
        <f>IF(ISNUMBER((Tasas!D10-Datos!BF10)/Datos!BF10),(Tasas!D10-Datos!BF10)/Datos!BF10," - ")</f>
        <v>-0.26904109589041098</v>
      </c>
      <c r="K10" s="397">
        <f>IF(ISNUMBER((Tasas!E10-Datos!BG10)/Datos!BG10),(Tasas!E10-Datos!BG10)/Datos!BG10," - ")</f>
        <v>-0.30127667505358308</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0.44424131627056673</v>
      </c>
      <c r="I12" s="396">
        <f>IF(ISNUMBER((Tasas!C12-Datos!BE12)/Datos!BE12),(Tasas!C12-Datos!BE12)/Datos!BE12," - ")</f>
        <v>-0.52751379753534433</v>
      </c>
      <c r="J12" s="395">
        <f>IF(ISNUMBER((Tasas!D12-Datos!BF12)/Datos!BF12),(Tasas!D12-Datos!BF12)/Datos!BF12," - ")</f>
        <v>-0.48003123605533243</v>
      </c>
      <c r="K12" s="397">
        <f>IF(ISNUMBER((Tasas!E12-Datos!BG12)/Datos!BG12),(Tasas!E12-Datos!BG12)/Datos!BG12," - ")</f>
        <v>-0.35385672827249115</v>
      </c>
      <c r="M12" t="e">
        <f>IF(Monitorios="SI",Datos!CE12,0)</f>
        <v>#REF!</v>
      </c>
      <c r="N12" t="e">
        <f>IF(Monitorios="SI",Datos!CF12,0)</f>
        <v>#REF!</v>
      </c>
      <c r="O12" t="e">
        <f>IF(Monitorios="SI",Datos!CG12,0)</f>
        <v>#REF!</v>
      </c>
      <c r="P12" t="e">
        <f>IF(Monitorios="SI",Datos!CH12,0)</f>
        <v>#REF!</v>
      </c>
      <c r="Q12">
        <f>IF(J_V="SI",0,Datos!AG12)</f>
        <v>111</v>
      </c>
      <c r="R12">
        <f>IF(J_V="SI",0,Datos!AH12)</f>
        <v>137</v>
      </c>
      <c r="S12">
        <f>IF(J_V="SI",0,Datos!AI12)</f>
        <v>130</v>
      </c>
      <c r="T12">
        <f>IF(J_V="SI",0,Datos!AJ12)</f>
        <v>116</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0.43181818181818182</v>
      </c>
      <c r="I14" s="403">
        <f>IF(ISNUMBER((Tasas!C14-Datos!BE14)/Datos!BE14),(Tasas!C14-Datos!BE14)/Datos!BE14," - ")</f>
        <v>-0.52428263222923754</v>
      </c>
      <c r="J14" s="401">
        <f>IF(ISNUMBER((Tasas!D14-Datos!BF14)/Datos!BF14),(Tasas!D14-Datos!BF14)/Datos!BF14," - ")</f>
        <v>-0.475959162539556</v>
      </c>
      <c r="K14" s="404">
        <f>IF(ISNUMBER((Tasas!E14-Datos!BG14)/Datos!BG14),(Tasas!E14-Datos!BG14)/Datos!BG14," - ")</f>
        <v>-0.35306026080685848</v>
      </c>
      <c r="M14" t="e">
        <f>IF(Monitorios="SI",Datos!CE14,0)</f>
        <v>#REF!</v>
      </c>
      <c r="N14" t="e">
        <f>IF(Monitorios="SI",Datos!CF14,0)</f>
        <v>#REF!</v>
      </c>
      <c r="O14" t="e">
        <f>IF(Monitorios="SI",Datos!CG14,0)</f>
        <v>#REF!</v>
      </c>
      <c r="P14" t="e">
        <f>IF(Monitorios="SI",Datos!CH14,0)</f>
        <v>#REF!</v>
      </c>
      <c r="Q14">
        <f>IF(J_V="SI",0,Datos!AG14)</f>
        <v>111</v>
      </c>
      <c r="R14">
        <f>IF(J_V="SI",0,Datos!AH14)</f>
        <v>137</v>
      </c>
      <c r="S14">
        <f>IF(J_V="SI",0,Datos!AI14)</f>
        <v>130</v>
      </c>
      <c r="T14">
        <f>IF(J_V="SI",0,Datos!AJ14)</f>
        <v>116</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0.41337025316455694</v>
      </c>
      <c r="E17" s="394">
        <f>IF(ISNUMBER(
   IF(D_I="SI",(Datos!J17-Datos!T17)/Datos!T17,(Datos!J17+Datos!AD17-(Datos!T17+Datos!AL17))/(Datos!T17+Datos!AL17))
     ),IF(D_I="SI",(Datos!J17-Datos!T17)/Datos!T17,(Datos!J17+Datos!AD17-(Datos!T17+Datos!AL17))/(Datos!T17+Datos!AL17))," - ")</f>
        <v>5.4838709677419356E-2</v>
      </c>
      <c r="F17" s="394">
        <f>IF(ISNUMBER(
   IF(D_I="SI",(Datos!K17-Datos!U17)/Datos!U17,(Datos!K17+Datos!AE17-(Datos!U17+Datos!AM17))/(Datos!U17+Datos!AM17))
     ),IF(D_I="SI",(Datos!K17-Datos!U17)/Datos!U17,(Datos!K17+Datos!AE17-(Datos!U17+Datos!AM17))/(Datos!U17+Datos!AM17))," - ")</f>
        <v>0.29398148148148145</v>
      </c>
      <c r="G17" s="395">
        <f>IF(ISNUMBER(
   IF(D_I="SI",(Datos!L17-Datos!V17)/Datos!V17,(Datos!L17+Datos!AF17-(Datos!V17+Datos!AN17))/(Datos!V17+Datos!AN17))
     ),IF(D_I="SI",(Datos!L17-Datos!V17)/Datos!V17,(Datos!L17+Datos!AF17-(Datos!V17+Datos!AN17))/(Datos!V17+Datos!AN17))," - ")</f>
        <v>-9.5438007276798215E-2</v>
      </c>
      <c r="H17" s="244">
        <f>IF(ISNUMBER((Datos!M17-Datos!W17)/Datos!W17),(Datos!M17-Datos!W17)/Datos!W17," - ")</f>
        <v>0.56707317073170727</v>
      </c>
      <c r="I17" s="396">
        <f>IF(ISNUMBER((Tasas!C17-Datos!BE17)/Datos!BE17),(Tasas!C17-Datos!BE17)/Datos!BE17," - ")</f>
        <v>-0.30094672476489598</v>
      </c>
      <c r="J17" s="395">
        <f>IF(ISNUMBER((Tasas!D17-Datos!BF17)/Datos!BF17),(Tasas!D17-Datos!BF17)/Datos!BF17," - ")</f>
        <v>0.21104760242593487</v>
      </c>
      <c r="K17" s="397">
        <f>IF(ISNUMBER((Tasas!E17-Datos!BG17)/Datos!BG17),(Tasas!E17-Datos!BG17)/Datos!BG17," - ")</f>
        <v>-7.8003296305813319E-2</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1.0445859872611465</v>
      </c>
      <c r="E18" s="394">
        <f>IF(ISNUMBER(
   IF(D_I="SI",(Datos!J18-Datos!T18)/Datos!T18,(Datos!J18+Datos!AD18-(Datos!T18+Datos!AL18))/(Datos!T18+Datos!AL18))
     ),IF(D_I="SI",(Datos!J18-Datos!T18)/Datos!T18,(Datos!J18+Datos!AD18-(Datos!T18+Datos!AL18))/(Datos!T18+Datos!AL18))," - ")</f>
        <v>8.6746987951807228E-2</v>
      </c>
      <c r="F18" s="394">
        <f>IF(ISNUMBER(
   IF(D_I="SI",(Datos!K18-Datos!U18)/Datos!U18,(Datos!K18+Datos!AE18-(Datos!U18+Datos!AM18))/(Datos!U18+Datos!AM18))
     ),IF(D_I="SI",(Datos!K18-Datos!U18)/Datos!U18,(Datos!K18+Datos!AE18-(Datos!U18+Datos!AM18))/(Datos!U18+Datos!AM18))," - ")</f>
        <v>0.23643410852713179</v>
      </c>
      <c r="G18" s="395">
        <f>IF(ISNUMBER(
   IF(D_I="SI",(Datos!L18-Datos!V18)/Datos!V18,(Datos!L18+Datos!AF18-(Datos!V18+Datos!AN18))/(Datos!V18+Datos!AN18))
     ),IF(D_I="SI",(Datos!L18-Datos!V18)/Datos!V18,(Datos!L18+Datos!AF18-(Datos!V18+Datos!AN18))/(Datos!V18+Datos!AN18))," - ")</f>
        <v>0.4174454828660436</v>
      </c>
      <c r="H18" s="244">
        <f>IF(ISNUMBER((Datos!M18-Datos!W18)/Datos!W18),(Datos!M18-Datos!W18)/Datos!W18," - ")</f>
        <v>1.0714285714285714</v>
      </c>
      <c r="I18" s="396">
        <f>IF(ISNUMBER((Tasas!C18-Datos!BE18)/Datos!BE18),(Tasas!C18-Datos!BE18)/Datos!BE18," - ")</f>
        <v>0.14639791404212932</v>
      </c>
      <c r="J18" s="395">
        <f>IF(ISNUMBER((Tasas!D18-Datos!BF18)/Datos!BF18),(Tasas!D18-Datos!BF18)/Datos!BF18," - ")</f>
        <v>0.67532467532467544</v>
      </c>
      <c r="K18" s="397">
        <f>IF(ISNUMBER((Tasas!E18-Datos!BG18)/Datos!BG18),(Tasas!E18-Datos!BG18)/Datos!BG18," - ")</f>
        <v>9.1566740469561897E-2</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0.45027932960893857</v>
      </c>
      <c r="E23" s="400">
        <f>IF(ISNUMBER(
   IF(D_I="SI",(Datos!J23-Datos!T23)/Datos!T23,(Datos!J23+Datos!AD23-(Datos!T23+Datos!AL23))/(Datos!T23+Datos!AL23))
     ),IF(D_I="SI",(Datos!J23-Datos!T23)/Datos!T23,(Datos!J23+Datos!AD23-(Datos!T23+Datos!AL23))/(Datos!T23+Datos!AL23))," - ")</f>
        <v>5.78177727784027E-2</v>
      </c>
      <c r="F23" s="400">
        <f>IF(ISNUMBER(
   IF(D_I="SI",(Datos!K23-Datos!U23)/Datos!U23,(Datos!K23+Datos!AE23-(Datos!U23+Datos!AM23))/(Datos!U23+Datos!AM23))
     ),IF(D_I="SI",(Datos!K23-Datos!U23)/Datos!U23,(Datos!K23+Datos!AE23-(Datos!U23+Datos!AM23))/(Datos!U23+Datos!AM23))," - ")</f>
        <v>0.28945764777574651</v>
      </c>
      <c r="G23" s="401">
        <f>IF(ISNUMBER(
   IF(D_I="SI",(Datos!L23-Datos!V23)/Datos!V23,(Datos!L23+Datos!AF23-(Datos!V23+Datos!AN23))/(Datos!V23+Datos!AN23))
     ),IF(D_I="SI",(Datos!L23-Datos!V23)/Datos!V23,(Datos!L23+Datos!AF23-(Datos!V23+Datos!AN23))/(Datos!V23+Datos!AN23))," - ")</f>
        <v>-5.3158705701078585E-2</v>
      </c>
      <c r="H23" s="402">
        <f>IF(ISNUMBER((Datos!M23-Datos!W23)/Datos!W23),(Datos!M23-Datos!W23)/Datos!W23," - ")</f>
        <v>0.58771929824561409</v>
      </c>
      <c r="I23" s="403">
        <f>IF(ISNUMBER((Tasas!C23-Datos!BE23)/Datos!BE23),(Tasas!C23-Datos!BE23)/Datos!BE23," - ")</f>
        <v>-0.26570578263491024</v>
      </c>
      <c r="J23" s="401">
        <f>IF(ISNUMBER((Tasas!D23-Datos!BF23)/Datos!BF23),(Tasas!D23-Datos!BF23)/Datos!BF23," - ")</f>
        <v>0.23130783006666009</v>
      </c>
      <c r="K23" s="404">
        <f>IF(ISNUMBER((Tasas!E23-Datos!BG23)/Datos!BG23),(Tasas!E23-Datos!BG23)/Datos!BG23," - ")</f>
        <v>-6.5025438984879752E-2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0.31829613329141782</v>
      </c>
      <c r="E31" s="410">
        <f>IF(ISNUMBER(
   IF(J_V="SI",(Datos!J31-Datos!T31)/Datos!T31,(Datos!J31+Datos!Z31-(Datos!T31+Datos!AH31))/(Datos!T31+Datos!AH31))
     ),IF(J_V="SI",(Datos!J31-Datos!T31)/Datos!T31,(Datos!J31+Datos!Z31-(Datos!T31+Datos!AH31))/(Datos!T31+Datos!AH31))," - ")</f>
        <v>0.20289466630930045</v>
      </c>
      <c r="F31" s="410">
        <f>IF(ISNUMBER(
   IF(J_V="SI",(Datos!K31-Datos!U31)/Datos!U31,(Datos!K31+Datos!AA31-(Datos!U31+Datos!AI31))/(Datos!U31+Datos!AI31))
     ),IF(J_V="SI",(Datos!K31-Datos!U31)/Datos!U31,(Datos!K31+Datos!AA31-(Datos!U31+Datos!AI31))/(Datos!U31+Datos!AI31))," - ")</f>
        <v>0.58198826118855462</v>
      </c>
      <c r="G31" s="411">
        <f>IF(ISNUMBER(
   IF(J_V="SI",(Datos!L31-Datos!V31)/Datos!V31,(Datos!L31+Datos!AB31-(Datos!V31+Datos!AJ31))/(Datos!V31+Datos!AJ31))
     ),IF(J_V="SI",(Datos!L31-Datos!V31)/Datos!V31,(Datos!L31+Datos!AB31-(Datos!V31+Datos!AJ31))/(Datos!V31+Datos!AJ31))," - ")</f>
        <v>-4.4473590079885536E-2</v>
      </c>
      <c r="H31" s="412">
        <f>IF(ISNUMBER((Datos!M31-Datos!W31)/Datos!W31),(Datos!M31-Datos!W31)/Datos!W31," - ")</f>
        <v>0.49015317286652077</v>
      </c>
      <c r="I31" s="409">
        <f>IF(ISNUMBER((Tasas!C31-Datos!BE31)/Datos!BE31),(Tasas!C31-Datos!BE31)/Datos!BE31," - ")</f>
        <v>-0.3959965232597723</v>
      </c>
      <c r="J31" s="410">
        <f>IF(ISNUMBER((Tasas!D31-Datos!BF31)/Datos!BF31),(Tasas!D31-Datos!BF31)/Datos!BF31," - ")</f>
        <v>-0.22716165795019902</v>
      </c>
      <c r="K31" s="411">
        <f>IF(ISNUMBER((Tasas!E31-Datos!BG31)/Datos!BG31),(Tasas!E31-Datos!BG31)/Datos!BG31," - ")</f>
        <v>-0.2060598161567363</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0.43427115159257157</v>
      </c>
      <c r="E33" s="303">
        <f t="shared" si="1"/>
        <v>0.10485511713970606</v>
      </c>
      <c r="F33" s="303">
        <f t="shared" si="1"/>
        <v>0.15899412392370801</v>
      </c>
      <c r="G33" s="304">
        <f t="shared" si="1"/>
        <v>0.23262979599424627</v>
      </c>
      <c r="H33" s="310">
        <f t="shared" si="1"/>
        <v>0.30020549920276834</v>
      </c>
      <c r="I33" s="302">
        <f t="shared" si="1"/>
        <v>0.24622323212738367</v>
      </c>
      <c r="J33" s="303">
        <f t="shared" si="1"/>
        <v>0.46508866317676428</v>
      </c>
      <c r="K33" s="304">
        <f t="shared" si="1"/>
        <v>0.18557264749263808</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KjabGZ7DTey+H5EMCQDDjXIDJkLB1ZhVt3bnDpFQklZZxHIn60FAS3BV5qZP7GbIBmdwlVTiirLAShzkeaniA==" saltValue="X/ABt9tIzr2BQ0ZAhN6kF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